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plantcompany.sharepoint.com/sites/TPCSales/Shared Documents/! Client Availabilty/Zone Avails/2025/WK 44/"/>
    </mc:Choice>
  </mc:AlternateContent>
  <xr:revisionPtr revIDLastSave="282" documentId="8_{1D4D6999-7621-4038-8F12-49AE4AEDBE4E}" xr6:coauthVersionLast="47" xr6:coauthVersionMax="47" xr10:uidLastSave="{979E28F1-FE11-466A-BF05-E17E4FC8C948}"/>
  <bookViews>
    <workbookView showSheetTabs="0" xWindow="-120" yWindow="-120" windowWidth="29040" windowHeight="15720" xr2:uid="{82ABF5B3-253E-47A1-BBCB-17E5A73CA034}"/>
  </bookViews>
  <sheets>
    <sheet name="availability" sheetId="2" r:id="rId1"/>
    <sheet name="Min table" sheetId="4" state="hidden" r:id="rId2"/>
  </sheets>
  <externalReferences>
    <externalReference r:id="rId3"/>
  </externalReferences>
  <definedNames>
    <definedName name="_xlnm._FilterDatabase" localSheetId="0" hidden="1">availability!$V$1:$W$1078</definedName>
    <definedName name="Min_Table">'Min table'!$A$1:$B$5</definedName>
    <definedName name="Mintable">'Min table'!$A$2:$B$5</definedName>
    <definedName name="_xlnm.Print_Area" localSheetId="0">availability!$D$2:$U$1078</definedName>
    <definedName name="size">'Min table'!$A$2:$B$5</definedName>
    <definedName name="Z_3F151249_09B1_4064_A2B7_52ACCBE51740_.wvu.Cols" localSheetId="0" hidden="1">availability!$AB:$BC</definedName>
    <definedName name="Z_3F151249_09B1_4064_A2B7_52ACCBE51740_.wvu.FilterData" localSheetId="0" hidden="1">availability!$V$1:$V$1079</definedName>
    <definedName name="Z_3F151249_09B1_4064_A2B7_52ACCBE51740_.wvu.PrintArea" localSheetId="0" hidden="1">availability!$F$2:$U$1078</definedName>
    <definedName name="Z_533AD239_F422_4464_B3A3_7C11E4AF2472_.wvu.Cols" localSheetId="0" hidden="1">availability!$AB:$BC</definedName>
    <definedName name="Z_533AD239_F422_4464_B3A3_7C11E4AF2472_.wvu.FilterData" localSheetId="0" hidden="1">availability!$V$1:$V$1079</definedName>
    <definedName name="Z_533AD239_F422_4464_B3A3_7C11E4AF2472_.wvu.PrintArea" localSheetId="0" hidden="1">availability!$F$2:$U$1078</definedName>
    <definedName name="Z_90FD0011_CDCB_4802_9813_C8A8D2A6E771_.wvu.Cols" localSheetId="0" hidden="1">availability!$AB:$BC</definedName>
    <definedName name="Z_90FD0011_CDCB_4802_9813_C8A8D2A6E771_.wvu.FilterData" localSheetId="0" hidden="1">availability!$V$1:$V$1079</definedName>
    <definedName name="Z_90FD0011_CDCB_4802_9813_C8A8D2A6E771_.wvu.PrintArea" localSheetId="0" hidden="1">availability!$F$2:$U$1078</definedName>
  </definedNames>
  <calcPr calcId="191028"/>
  <customWorkbookViews>
    <customWorkbookView name="Avail view" guid="{533AD239-F422-4464-B3A3-7C11E4AF2472}" maximized="1" xWindow="-8" yWindow="-8" windowWidth="1936" windowHeight="1048" activeSheetId="2"/>
    <customWorkbookView name="Customer Avail View" guid="{3F151249-09B1-4064-A2B7-52ACCBE51740}" maximized="1" showSheetTabs="0" xWindow="-8" yWindow="-8" windowWidth="1936" windowHeight="1048" activeSheetId="2" showFormulaBar="0"/>
    <customWorkbookView name="Customer View" guid="{90FD0011-CDCB-4802-9813-C8A8D2A6E771}" maximized="1" showSheetTabs="0" xWindow="-8" yWindow="-8" windowWidth="1936" windowHeight="1048" activeSheetId="2" showFormulaBar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7" i="2" l="1"/>
  <c r="M360" i="2"/>
  <c r="L360" i="2"/>
  <c r="O375" i="2"/>
  <c r="L375" i="2"/>
  <c r="M450" i="2"/>
  <c r="L450" i="2"/>
  <c r="O450" i="2"/>
  <c r="O926" i="2"/>
  <c r="O1053" i="2"/>
  <c r="M1053" i="2"/>
  <c r="M926" i="2"/>
  <c r="L926" i="2"/>
  <c r="M611" i="2"/>
  <c r="L611" i="2"/>
  <c r="O947" i="2"/>
  <c r="O98" i="2"/>
  <c r="O97" i="2"/>
  <c r="O96" i="2"/>
  <c r="O95" i="2"/>
  <c r="O92" i="2"/>
  <c r="O91" i="2"/>
  <c r="O90" i="2"/>
  <c r="O89" i="2"/>
  <c r="O88" i="2"/>
  <c r="O87" i="2"/>
  <c r="O86" i="2"/>
  <c r="W1050" i="2"/>
  <c r="W989" i="2"/>
  <c r="W976" i="2"/>
  <c r="W975" i="2"/>
  <c r="W967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M130" i="2"/>
  <c r="L130" i="2"/>
  <c r="W307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3" i="2"/>
  <c r="W202" i="2"/>
  <c r="W204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O485" i="2" l="1"/>
  <c r="O737" i="2"/>
  <c r="O872" i="2"/>
  <c r="O889" i="2"/>
  <c r="O979" i="2" l="1"/>
  <c r="O961" i="2"/>
  <c r="O960" i="2"/>
  <c r="O1048" i="2"/>
  <c r="O925" i="2"/>
  <c r="O841" i="2"/>
  <c r="O840" i="2"/>
  <c r="O747" i="2"/>
  <c r="O695" i="2"/>
  <c r="O686" i="2"/>
  <c r="O672" i="2"/>
  <c r="O637" i="2"/>
  <c r="L82" i="2" a="1"/>
  <c r="L82" i="2" s="1"/>
  <c r="M93" i="2"/>
  <c r="L93" i="2"/>
  <c r="M99" i="2"/>
  <c r="L99" i="2"/>
  <c r="W950" i="2"/>
  <c r="W948" i="2"/>
  <c r="W1048" i="2"/>
  <c r="W960" i="2"/>
  <c r="O942" i="2"/>
  <c r="W961" i="2"/>
  <c r="J55" i="2" l="1"/>
  <c r="W1052" i="2"/>
  <c r="W1051" i="2"/>
  <c r="W1049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4" i="2"/>
  <c r="W973" i="2"/>
  <c r="W972" i="2"/>
  <c r="W971" i="2"/>
  <c r="W970" i="2"/>
  <c r="W969" i="2"/>
  <c r="W968" i="2"/>
  <c r="W966" i="2"/>
  <c r="W965" i="2"/>
  <c r="W964" i="2"/>
  <c r="W963" i="2"/>
  <c r="W962" i="2"/>
  <c r="W959" i="2"/>
  <c r="W958" i="2"/>
  <c r="W957" i="2"/>
  <c r="W956" i="2"/>
  <c r="W955" i="2"/>
  <c r="W954" i="2"/>
  <c r="W953" i="2"/>
  <c r="W952" i="2"/>
  <c r="W951" i="2"/>
  <c r="W949" i="2"/>
  <c r="R46" i="2" l="1"/>
  <c r="L76" i="2" a="1"/>
  <c r="L76" i="2" s="1"/>
  <c r="L1053" i="2"/>
  <c r="M197" i="2"/>
  <c r="R47" i="2"/>
  <c r="R48" i="2" s="1"/>
  <c r="O887" i="2"/>
  <c r="O885" i="2"/>
  <c r="O876" i="2"/>
  <c r="O874" i="2"/>
  <c r="O707" i="2"/>
  <c r="O692" i="2"/>
  <c r="O675" i="2"/>
  <c r="O676" i="2"/>
  <c r="O677" i="2"/>
  <c r="O634" i="2"/>
  <c r="R1055" i="2" l="1"/>
  <c r="R1056" i="2" s="1"/>
  <c r="Q62" i="2"/>
  <c r="O569" i="2"/>
  <c r="O1025" i="2" l="1"/>
  <c r="O1034" i="2"/>
  <c r="O959" i="2"/>
  <c r="O742" i="2"/>
  <c r="O759" i="2"/>
  <c r="O570" i="2"/>
  <c r="O568" i="2"/>
  <c r="O567" i="2"/>
  <c r="O566" i="2"/>
  <c r="O565" i="2"/>
  <c r="O564" i="2"/>
  <c r="O563" i="2"/>
  <c r="O845" i="2"/>
  <c r="O844" i="2"/>
  <c r="O843" i="2"/>
  <c r="O842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8" i="2"/>
  <c r="O757" i="2"/>
  <c r="O756" i="2"/>
  <c r="O755" i="2"/>
  <c r="O754" i="2"/>
  <c r="O753" i="2"/>
  <c r="O752" i="2"/>
  <c r="O751" i="2"/>
  <c r="O750" i="2"/>
  <c r="O749" i="2"/>
  <c r="O748" i="2"/>
  <c r="O746" i="2"/>
  <c r="O745" i="2"/>
  <c r="O744" i="2"/>
  <c r="O743" i="2"/>
  <c r="O741" i="2"/>
  <c r="O740" i="2"/>
  <c r="O739" i="2"/>
  <c r="O738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6" i="2"/>
  <c r="O705" i="2"/>
  <c r="O704" i="2"/>
  <c r="O703" i="2"/>
  <c r="O702" i="2"/>
  <c r="O701" i="2"/>
  <c r="O700" i="2"/>
  <c r="O284" i="2"/>
  <c r="O699" i="2"/>
  <c r="O698" i="2"/>
  <c r="O697" i="2"/>
  <c r="O696" i="2"/>
  <c r="O694" i="2"/>
  <c r="O693" i="2"/>
  <c r="O691" i="2"/>
  <c r="O690" i="2"/>
  <c r="O689" i="2"/>
  <c r="O688" i="2"/>
  <c r="O687" i="2"/>
  <c r="O685" i="2"/>
  <c r="O684" i="2"/>
  <c r="O683" i="2"/>
  <c r="O682" i="2"/>
  <c r="O681" i="2"/>
  <c r="O680" i="2"/>
  <c r="O679" i="2"/>
  <c r="O678" i="2"/>
  <c r="O674" i="2"/>
  <c r="O673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6" i="2"/>
  <c r="O635" i="2"/>
  <c r="O632" i="2"/>
  <c r="O85" i="2" l="1"/>
  <c r="O604" i="2" l="1"/>
  <c r="O94" i="2" l="1"/>
  <c r="O1031" i="2"/>
  <c r="O1009" i="2"/>
  <c r="O878" i="2"/>
  <c r="O536" i="2"/>
  <c r="O195" i="2"/>
  <c r="O1008" i="2"/>
  <c r="O975" i="2"/>
  <c r="O943" i="2"/>
  <c r="O877" i="2"/>
  <c r="O865" i="2"/>
  <c r="O527" i="2"/>
  <c r="O875" i="2" l="1"/>
  <c r="O852" i="2"/>
  <c r="O237" i="2"/>
  <c r="O229" i="2"/>
  <c r="O850" i="2" l="1"/>
  <c r="O321" i="2"/>
  <c r="O318" i="2"/>
  <c r="O316" i="2"/>
  <c r="O313" i="2"/>
  <c r="O307" i="2"/>
  <c r="O145" i="2"/>
  <c r="M81" i="2"/>
  <c r="M80" i="2"/>
  <c r="O502" i="2" l="1"/>
  <c r="O474" i="2"/>
  <c r="O606" i="2"/>
  <c r="O913" i="2"/>
  <c r="O622" i="2"/>
  <c r="O256" i="2"/>
  <c r="O444" i="2"/>
  <c r="O283" i="2"/>
  <c r="O282" i="2"/>
  <c r="O348" i="2"/>
  <c r="O895" i="2" l="1"/>
  <c r="O888" i="2"/>
  <c r="O848" i="2"/>
  <c r="O586" i="2"/>
  <c r="O465" i="2"/>
  <c r="O433" i="2" l="1"/>
  <c r="O434" i="2"/>
  <c r="O628" i="2"/>
  <c r="O588" i="2"/>
  <c r="O585" i="2"/>
  <c r="O575" i="2"/>
  <c r="O574" i="2"/>
  <c r="O573" i="2"/>
  <c r="O572" i="2"/>
  <c r="O562" i="2"/>
  <c r="O561" i="2"/>
  <c r="O560" i="2"/>
  <c r="O559" i="2"/>
  <c r="O148" i="2" l="1"/>
  <c r="O147" i="2"/>
  <c r="O146" i="2"/>
  <c r="O144" i="2"/>
  <c r="O143" i="2"/>
  <c r="O142" i="2"/>
  <c r="O1051" i="2" l="1"/>
  <c r="O967" i="2"/>
  <c r="O964" i="2"/>
  <c r="O963" i="2"/>
  <c r="O931" i="2"/>
  <c r="O934" i="2"/>
  <c r="O587" i="2"/>
  <c r="O584" i="2"/>
  <c r="O552" i="2"/>
  <c r="O550" i="2"/>
  <c r="O530" i="2"/>
  <c r="O506" i="2"/>
  <c r="O505" i="2"/>
  <c r="O630" i="2" l="1"/>
  <c r="O624" i="2"/>
  <c r="O538" i="2"/>
  <c r="O520" i="2"/>
  <c r="O534" i="2"/>
  <c r="O532" i="2"/>
  <c r="O531" i="2"/>
  <c r="O529" i="2"/>
  <c r="O528" i="2"/>
  <c r="M70" i="2"/>
  <c r="O70" i="2" s="1"/>
  <c r="O81" i="2"/>
  <c r="O80" i="2"/>
  <c r="M79" i="2"/>
  <c r="M75" i="2"/>
  <c r="O75" i="2" s="1"/>
  <c r="M74" i="2"/>
  <c r="O74" i="2" s="1"/>
  <c r="M73" i="2"/>
  <c r="O73" i="2" s="1"/>
  <c r="M72" i="2"/>
  <c r="O72" i="2" s="1"/>
  <c r="M71" i="2"/>
  <c r="O71" i="2" s="1"/>
  <c r="M69" i="2"/>
  <c r="O69" i="2" s="1"/>
  <c r="O610" i="2"/>
  <c r="O609" i="2"/>
  <c r="O608" i="2"/>
  <c r="O607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3" i="2"/>
  <c r="O582" i="2"/>
  <c r="O581" i="2"/>
  <c r="O580" i="2"/>
  <c r="O579" i="2"/>
  <c r="O578" i="2"/>
  <c r="O577" i="2"/>
  <c r="O576" i="2"/>
  <c r="O558" i="2"/>
  <c r="O557" i="2"/>
  <c r="O556" i="2"/>
  <c r="O555" i="2"/>
  <c r="O554" i="2"/>
  <c r="O553" i="2"/>
  <c r="O551" i="2"/>
  <c r="O549" i="2"/>
  <c r="O548" i="2"/>
  <c r="O547" i="2"/>
  <c r="O546" i="2"/>
  <c r="O545" i="2"/>
  <c r="O544" i="2"/>
  <c r="O543" i="2"/>
  <c r="O542" i="2"/>
  <c r="O541" i="2"/>
  <c r="O540" i="2"/>
  <c r="O539" i="2"/>
  <c r="O537" i="2"/>
  <c r="O535" i="2"/>
  <c r="O533" i="2"/>
  <c r="O526" i="2"/>
  <c r="O525" i="2"/>
  <c r="O524" i="2"/>
  <c r="O523" i="2"/>
  <c r="O522" i="2"/>
  <c r="O521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4" i="2"/>
  <c r="O503" i="2"/>
  <c r="O501" i="2"/>
  <c r="O500" i="2"/>
  <c r="O499" i="2"/>
  <c r="O498" i="2"/>
  <c r="O497" i="2"/>
  <c r="O496" i="2"/>
  <c r="O495" i="2"/>
  <c r="O494" i="2"/>
  <c r="O493" i="2"/>
  <c r="O492" i="2"/>
  <c r="O491" i="2"/>
  <c r="O489" i="2"/>
  <c r="O488" i="2"/>
  <c r="O487" i="2"/>
  <c r="O486" i="2"/>
  <c r="O484" i="2"/>
  <c r="O483" i="2"/>
  <c r="O482" i="2"/>
  <c r="O481" i="2"/>
  <c r="O480" i="2"/>
  <c r="O479" i="2"/>
  <c r="O478" i="2"/>
  <c r="O477" i="2"/>
  <c r="O476" i="2"/>
  <c r="O475" i="2"/>
  <c r="O468" i="2"/>
  <c r="O467" i="2"/>
  <c r="O466" i="2"/>
  <c r="O464" i="2"/>
  <c r="O463" i="2"/>
  <c r="O462" i="2"/>
  <c r="O461" i="2"/>
  <c r="O460" i="2"/>
  <c r="O459" i="2"/>
  <c r="O458" i="2"/>
  <c r="O457" i="2"/>
  <c r="O456" i="2"/>
  <c r="O455" i="2"/>
  <c r="O611" i="2" s="1"/>
  <c r="O196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1" i="2"/>
  <c r="O140" i="2"/>
  <c r="O139" i="2"/>
  <c r="O138" i="2"/>
  <c r="O137" i="2"/>
  <c r="O104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3" i="2"/>
  <c r="O1052" i="2"/>
  <c r="O1050" i="2"/>
  <c r="O1049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3" i="2"/>
  <c r="O1032" i="2"/>
  <c r="O1030" i="2"/>
  <c r="O1029" i="2"/>
  <c r="O1028" i="2"/>
  <c r="O1027" i="2"/>
  <c r="O1026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7" i="2"/>
  <c r="O1006" i="2"/>
  <c r="O1005" i="2"/>
  <c r="O1004" i="2"/>
  <c r="O1003" i="2"/>
  <c r="O1002" i="2"/>
  <c r="O1001" i="2"/>
  <c r="O1000" i="2"/>
  <c r="O999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8" i="2"/>
  <c r="O977" i="2"/>
  <c r="O976" i="2"/>
  <c r="O974" i="2"/>
  <c r="O973" i="2"/>
  <c r="O972" i="2"/>
  <c r="O971" i="2"/>
  <c r="O970" i="2"/>
  <c r="O969" i="2"/>
  <c r="O968" i="2"/>
  <c r="O966" i="2"/>
  <c r="O965" i="2"/>
  <c r="O962" i="2"/>
  <c r="O945" i="2"/>
  <c r="O944" i="2"/>
  <c r="O941" i="2"/>
  <c r="O940" i="2"/>
  <c r="O939" i="2"/>
  <c r="O938" i="2"/>
  <c r="O937" i="2"/>
  <c r="O936" i="2"/>
  <c r="O935" i="2"/>
  <c r="O933" i="2"/>
  <c r="O932" i="2"/>
  <c r="O930" i="2"/>
  <c r="O449" i="2"/>
  <c r="O448" i="2"/>
  <c r="O447" i="2"/>
  <c r="O446" i="2"/>
  <c r="O445" i="2"/>
  <c r="O443" i="2"/>
  <c r="O442" i="2"/>
  <c r="O441" i="2"/>
  <c r="O440" i="2"/>
  <c r="O439" i="2"/>
  <c r="O438" i="2"/>
  <c r="O437" i="2"/>
  <c r="O436" i="2"/>
  <c r="O435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4" i="2"/>
  <c r="O373" i="2"/>
  <c r="O372" i="2"/>
  <c r="O371" i="2"/>
  <c r="O370" i="2"/>
  <c r="O368" i="2"/>
  <c r="O367" i="2"/>
  <c r="O366" i="2"/>
  <c r="O365" i="2"/>
  <c r="O364" i="2"/>
  <c r="O363" i="2"/>
  <c r="O369" i="2"/>
  <c r="O924" i="2"/>
  <c r="O923" i="2"/>
  <c r="O922" i="2"/>
  <c r="O921" i="2"/>
  <c r="O920" i="2"/>
  <c r="O919" i="2"/>
  <c r="O917" i="2"/>
  <c r="O916" i="2"/>
  <c r="O914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4" i="2"/>
  <c r="O893" i="2"/>
  <c r="O892" i="2"/>
  <c r="O891" i="2"/>
  <c r="O890" i="2"/>
  <c r="O886" i="2"/>
  <c r="O884" i="2"/>
  <c r="O883" i="2"/>
  <c r="O882" i="2"/>
  <c r="O881" i="2"/>
  <c r="O880" i="2"/>
  <c r="O879" i="2"/>
  <c r="O873" i="2"/>
  <c r="O871" i="2"/>
  <c r="O870" i="2"/>
  <c r="O869" i="2"/>
  <c r="O868" i="2"/>
  <c r="O866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1" i="2"/>
  <c r="O849" i="2"/>
  <c r="O847" i="2"/>
  <c r="O846" i="2"/>
  <c r="O633" i="2"/>
  <c r="O631" i="2"/>
  <c r="O629" i="2"/>
  <c r="O627" i="2"/>
  <c r="O626" i="2"/>
  <c r="O625" i="2"/>
  <c r="O623" i="2"/>
  <c r="O621" i="2"/>
  <c r="O620" i="2"/>
  <c r="O619" i="2"/>
  <c r="O618" i="2"/>
  <c r="O617" i="2"/>
  <c r="O616" i="2"/>
  <c r="O615" i="2"/>
  <c r="O359" i="2"/>
  <c r="O358" i="2"/>
  <c r="O357" i="2"/>
  <c r="O356" i="2"/>
  <c r="O355" i="2"/>
  <c r="O354" i="2"/>
  <c r="O353" i="2"/>
  <c r="O352" i="2"/>
  <c r="O351" i="2"/>
  <c r="O350" i="2"/>
  <c r="O349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0" i="2"/>
  <c r="O319" i="2"/>
  <c r="O317" i="2"/>
  <c r="O315" i="2"/>
  <c r="O314" i="2"/>
  <c r="O312" i="2"/>
  <c r="O311" i="2"/>
  <c r="O310" i="2"/>
  <c r="O309" i="2"/>
  <c r="O308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6" i="2"/>
  <c r="O235" i="2"/>
  <c r="O234" i="2"/>
  <c r="O233" i="2"/>
  <c r="O232" i="2"/>
  <c r="O231" i="2"/>
  <c r="O230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360" i="2" s="1"/>
  <c r="O214" i="2"/>
  <c r="O213" i="2"/>
  <c r="O212" i="2"/>
  <c r="O211" i="2"/>
  <c r="O210" i="2"/>
  <c r="O208" i="2"/>
  <c r="O207" i="2"/>
  <c r="O206" i="2"/>
  <c r="O205" i="2"/>
  <c r="O204" i="2"/>
  <c r="O203" i="2"/>
  <c r="O202" i="2"/>
  <c r="O136" i="2"/>
  <c r="O209" i="2"/>
  <c r="O197" i="2" l="1"/>
  <c r="O76" i="2"/>
  <c r="O79" i="2"/>
  <c r="O82" i="2" s="1"/>
  <c r="O130" i="2"/>
  <c r="O99" i="2"/>
  <c r="R1057" i="2" l="1"/>
  <c r="R1059" i="2" l="1"/>
  <c r="R107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<sst xmlns="http://schemas.openxmlformats.org/spreadsheetml/2006/main" count="7292" uniqueCount="2806">
  <si>
    <t>Contact:</t>
  </si>
  <si>
    <t>Phone:</t>
  </si>
  <si>
    <t>Email:</t>
  </si>
  <si>
    <t>Grower's Choice Bundles</t>
  </si>
  <si>
    <t>Week #:</t>
  </si>
  <si>
    <t>Essentials Bundle</t>
  </si>
  <si>
    <t>Traditional Bundle</t>
  </si>
  <si>
    <t>H2O Bundle</t>
  </si>
  <si>
    <t>QTY</t>
  </si>
  <si>
    <t>Retail Display Bundle</t>
  </si>
  <si>
    <t>Select your Zone</t>
  </si>
  <si>
    <t>Shipping Cost</t>
  </si>
  <si>
    <t>Check here</t>
  </si>
  <si>
    <t>Zone A:</t>
  </si>
  <si>
    <t>Zone B:</t>
  </si>
  <si>
    <t>Zone C:</t>
  </si>
  <si>
    <t>Zone D:</t>
  </si>
  <si>
    <t>Zone E:</t>
  </si>
  <si>
    <t>Zone F:</t>
  </si>
  <si>
    <t xml:space="preserve">Do you Require a Lift Gate:  </t>
  </si>
  <si>
    <t>ITEMS</t>
  </si>
  <si>
    <t>UNITS/CASE</t>
  </si>
  <si>
    <t>PRICE/CASE</t>
  </si>
  <si>
    <t>CASE QTY</t>
  </si>
  <si>
    <t>TOTAL ADD ON CASE QTY</t>
  </si>
  <si>
    <t>Buyer's Choice Ordering</t>
  </si>
  <si>
    <t>Size</t>
  </si>
  <si>
    <t>Collection</t>
  </si>
  <si>
    <t># Ordering</t>
  </si>
  <si>
    <t>Total pcs</t>
  </si>
  <si>
    <t>Unit Cost</t>
  </si>
  <si>
    <t>Plant Sub-Total</t>
  </si>
  <si>
    <t>Plant Specs</t>
  </si>
  <si>
    <t>Suggested Retails in Grower Pot</t>
  </si>
  <si>
    <t xml:space="preserve">H20 </t>
  </si>
  <si>
    <t>leafjoy H20®</t>
  </si>
  <si>
    <t>leafjoy H20®Bowls   12/case</t>
  </si>
  <si>
    <t>Bowl</t>
  </si>
  <si>
    <t>$19.99 - $24.99</t>
  </si>
  <si>
    <t>5. Filter out plants less than 25</t>
  </si>
  <si>
    <t>leafjoy H20® Minis  20/case</t>
  </si>
  <si>
    <t>Mini Cylinder</t>
  </si>
  <si>
    <t>$14.99 - $19.99</t>
  </si>
  <si>
    <t>6. Check current week's orders to see if anything else moved to below 50</t>
  </si>
  <si>
    <t>leafjoy H20® Venti Bowls  6/case</t>
  </si>
  <si>
    <t>Venti Bowl</t>
  </si>
  <si>
    <t>$39.99- $49.99</t>
  </si>
  <si>
    <t>leafjoy H20® Specialty Elkhorn  16/case</t>
  </si>
  <si>
    <t>Asst.</t>
  </si>
  <si>
    <t>7. change font to red for plant names that are between 25-50 available</t>
  </si>
  <si>
    <t>leafjoy H20® Specialty Shenandoah  16/case</t>
  </si>
  <si>
    <t>leafjoy H20® Specialty Deco Ring  24/case</t>
  </si>
  <si>
    <t>leafjoy H20® Specialty Mason Jar 20/case</t>
  </si>
  <si>
    <t xml:space="preserve">Asst. </t>
  </si>
  <si>
    <t>Terraform Terrariums</t>
  </si>
  <si>
    <t>Large</t>
  </si>
  <si>
    <t>Terraform Terrarium</t>
  </si>
  <si>
    <t>Large Terraform Terrarium (Case of 2)</t>
  </si>
  <si>
    <t>Medium</t>
  </si>
  <si>
    <t>Small</t>
  </si>
  <si>
    <t>Rare and Wonderful!</t>
  </si>
  <si>
    <t># in Cache Pot</t>
  </si>
  <si>
    <t>17cm</t>
  </si>
  <si>
    <t xml:space="preserve">TRIAL - Alocasia Macrorrhizos Camouflage Variegata </t>
  </si>
  <si>
    <t>FP-1639</t>
  </si>
  <si>
    <t>16" - 22"</t>
  </si>
  <si>
    <t>$129.99 - $149.99</t>
  </si>
  <si>
    <t xml:space="preserve">TRIAL - Alocasia Odora Variegated Batik </t>
  </si>
  <si>
    <t>FP-2094</t>
  </si>
  <si>
    <t xml:space="preserve">TRIAL - Monstera Burle Marx's Flame </t>
  </si>
  <si>
    <t>FP-1671</t>
  </si>
  <si>
    <t>16" - 24"</t>
  </si>
  <si>
    <t>SPECIALTY PRICING</t>
  </si>
  <si>
    <t xml:space="preserve">Mix and Match! </t>
  </si>
  <si>
    <t>Each Plant</t>
  </si>
  <si>
    <t>12cm</t>
  </si>
  <si>
    <t xml:space="preserve">3 leaves 3-6" long </t>
  </si>
  <si>
    <t>9cm</t>
  </si>
  <si>
    <t>Begonia African Jungle</t>
  </si>
  <si>
    <t>FP-1292</t>
  </si>
  <si>
    <t>8" - 10"</t>
  </si>
  <si>
    <t>$6.99 - $7.99</t>
  </si>
  <si>
    <t xml:space="preserve">Begonia Black Velvet </t>
  </si>
  <si>
    <t>FP-1289</t>
  </si>
  <si>
    <t>6" - 8"</t>
  </si>
  <si>
    <t>Begonia Dappled Morning™ (Double Dot)</t>
  </si>
  <si>
    <t>FP-1254</t>
  </si>
  <si>
    <t>Begonia Obsidian™ (Black Forest)</t>
  </si>
  <si>
    <t>FP-829</t>
  </si>
  <si>
    <t xml:space="preserve">Chlorophytum Pixie Punk™ (Ocean) </t>
  </si>
  <si>
    <t>FP-822</t>
  </si>
  <si>
    <t>H 8"-10" W 7"</t>
  </si>
  <si>
    <t>Crassula Pretty in Pewter™ (Tenelli)</t>
  </si>
  <si>
    <t>FP-827</t>
  </si>
  <si>
    <t>H 5.5"- 7.5" W 5"</t>
  </si>
  <si>
    <t>Curio Turquoise Tentacles™ (Mount Everest)</t>
  </si>
  <si>
    <t>FP-826</t>
  </si>
  <si>
    <t>7" - 10"</t>
  </si>
  <si>
    <t>Cyanotis Frosted Terra™ (Somaliensis)</t>
  </si>
  <si>
    <t>FP-1145</t>
  </si>
  <si>
    <t>H 5"-6"  W 5"</t>
  </si>
  <si>
    <t xml:space="preserve">Delosperma Cactini™ (Echinatum) </t>
  </si>
  <si>
    <t>FP-1259</t>
  </si>
  <si>
    <t>H 5"- 6"  W 4.5"</t>
  </si>
  <si>
    <t xml:space="preserve">Epipremnum Jade </t>
  </si>
  <si>
    <t>FP-989</t>
  </si>
  <si>
    <t>H 7"-9" W 7"</t>
  </si>
  <si>
    <t>Epipremnum Njoy</t>
  </si>
  <si>
    <t>FP-1160</t>
  </si>
  <si>
    <t>H 6"-8" W 6"</t>
  </si>
  <si>
    <t>Epipremnum Off to Oz™ (Neon)</t>
  </si>
  <si>
    <t>FP-990</t>
  </si>
  <si>
    <t>Epipremnum Snowy Morning™ (Marble Queen)</t>
  </si>
  <si>
    <t>FP-849</t>
  </si>
  <si>
    <t xml:space="preserve">Epipremnum Summer Nights™ (Hawaiian) </t>
  </si>
  <si>
    <t>FP-843</t>
  </si>
  <si>
    <t>Fern Cute as a Button™ (Duffi)</t>
  </si>
  <si>
    <t>FP-790</t>
  </si>
  <si>
    <t xml:space="preserve">Fern Platycerium Ribbon Dance™ (Veitchii) </t>
  </si>
  <si>
    <t>FP-1429</t>
  </si>
  <si>
    <t>7" - 12"</t>
  </si>
  <si>
    <t>Fern Platycerium Sword Dance™ (bifurcatum)</t>
  </si>
  <si>
    <t>FP-1871</t>
  </si>
  <si>
    <t>Fern Ruffled Arrow™ (Rumohra Variegata)</t>
  </si>
  <si>
    <t>FP-1442</t>
  </si>
  <si>
    <t>Fern Wooly Tassel™ (Davallia Fejeensis)</t>
  </si>
  <si>
    <t>FP-1428</t>
  </si>
  <si>
    <t>7"-14"</t>
  </si>
  <si>
    <t>Fern Twirly Whirly™  (Emina)</t>
  </si>
  <si>
    <t>FP-788</t>
  </si>
  <si>
    <t>Fittonia All The Time (Tiger/White Tiger)</t>
  </si>
  <si>
    <t>FP-872</t>
  </si>
  <si>
    <t>H 4.5"-7" W 4.5"</t>
  </si>
  <si>
    <t>Fittonia Breaking News (Jungle Flame)</t>
  </si>
  <si>
    <t>FP-969</t>
  </si>
  <si>
    <t>Fittonia Broadcast (Purple Snow Anne)</t>
  </si>
  <si>
    <t>FP-974</t>
  </si>
  <si>
    <t>Fittonia Current News (Forest)</t>
  </si>
  <si>
    <t>FP-1112</t>
  </si>
  <si>
    <t>Fittonia Dispatch™ (Verschaffeltii Pink)</t>
  </si>
  <si>
    <t>FP-1395</t>
  </si>
  <si>
    <t>Fittonia Late Night (Marble Green)</t>
  </si>
  <si>
    <t>FP-972</t>
  </si>
  <si>
    <t>Fittonia Latest News (Flammule)</t>
  </si>
  <si>
    <t>FP-971</t>
  </si>
  <si>
    <t>Fittonia Media (Red Flame)</t>
  </si>
  <si>
    <t>FP-871</t>
  </si>
  <si>
    <t>Fittonia Nightly (Zalm Forest Flame)</t>
  </si>
  <si>
    <t>FP-867</t>
  </si>
  <si>
    <t>Fittonia Primetime (Skeleton)</t>
  </si>
  <si>
    <t>FP-865</t>
  </si>
  <si>
    <t>Fittonia Top Stories (Pink Forest Flame)</t>
  </si>
  <si>
    <t>FP-973</t>
  </si>
  <si>
    <t>Fittonia World Views (Lovers)</t>
  </si>
  <si>
    <t>FP-870</t>
  </si>
  <si>
    <t>Hoya Adrift™ (Rosita)</t>
  </si>
  <si>
    <t>FP-1045</t>
  </si>
  <si>
    <t>H 5"-7" W 5"</t>
  </si>
  <si>
    <t xml:space="preserve"> Hoya Autumn Blush</t>
  </si>
  <si>
    <t>FP-1320</t>
  </si>
  <si>
    <t>H 5" - 7" W 6"</t>
  </si>
  <si>
    <t>Hoya Carnosa Freckled Splash</t>
  </si>
  <si>
    <t>FP-1044</t>
  </si>
  <si>
    <t>H 6"- 8" W 6"</t>
  </si>
  <si>
    <t>Hoya Chouke</t>
  </si>
  <si>
    <t>FP-1369</t>
  </si>
  <si>
    <t>Hoya Emerald Surf™ (Endauensis)</t>
  </si>
  <si>
    <t>FP-1299</t>
  </si>
  <si>
    <t>H 5" - 8"</t>
  </si>
  <si>
    <t>Hoya Green Light™ (Carnosa Tricolor)</t>
  </si>
  <si>
    <t>FP-1188</t>
  </si>
  <si>
    <t>H 6" - 8" W 6"</t>
  </si>
  <si>
    <t>Hoya Kelp Grove™ (Wayettii Tricolor)</t>
  </si>
  <si>
    <t>FP-1047</t>
  </si>
  <si>
    <t>H 5"-7" W 6"</t>
  </si>
  <si>
    <t>Hoya Mathilde Splash</t>
  </si>
  <si>
    <t>FP-1332</t>
  </si>
  <si>
    <t>H 6" - 7"  W 6"</t>
  </si>
  <si>
    <t>Hoya Misty Morning™ (Lacunosa Mint)</t>
  </si>
  <si>
    <t>FP-1186</t>
  </si>
  <si>
    <t>Hoya Sea Stones™ (Burtoniae Variegated/DS-70)</t>
  </si>
  <si>
    <t>FP-1043</t>
  </si>
  <si>
    <t>H 5"-7"</t>
  </si>
  <si>
    <t>Hoya Teacup Anemone™ (Fitchii)</t>
  </si>
  <si>
    <t>FP-1042</t>
  </si>
  <si>
    <t>H 7"-10"</t>
  </si>
  <si>
    <t>Hoya Vangviengiensis</t>
  </si>
  <si>
    <t>FP-1302</t>
  </si>
  <si>
    <t>Peperomia Salt and Pepper™ (Gold Dust)</t>
  </si>
  <si>
    <t>FP-589</t>
  </si>
  <si>
    <t>H 6.5"- 8.5" W 5"</t>
  </si>
  <si>
    <t>Peperomia Spice is Nice™ (Obtipan Green)</t>
  </si>
  <si>
    <t>FP-821</t>
  </si>
  <si>
    <t>Peperomia Sweet and Sour™ (Obtipan bi-color)</t>
  </si>
  <si>
    <t>FP-582</t>
  </si>
  <si>
    <t>Sansevieria Superba</t>
  </si>
  <si>
    <t>FP-1523</t>
  </si>
  <si>
    <t>9" - 12"</t>
  </si>
  <si>
    <t>Scindapsus Sage and Cream™ (Silver Philo/Scandens Picta)</t>
  </si>
  <si>
    <t>FP-1527</t>
  </si>
  <si>
    <t>H 6"-8" W 7"</t>
  </si>
  <si>
    <t>Senecio Kathmandu™ (Himalaya)</t>
  </si>
  <si>
    <t>FP-824</t>
  </si>
  <si>
    <t>7" - 9"</t>
  </si>
  <si>
    <t>Senecio Mini Mammoth™ (Scaposus)</t>
  </si>
  <si>
    <t>FP-825</t>
  </si>
  <si>
    <t>H 6"-8" W 5"</t>
  </si>
  <si>
    <t>Syngonium Champaign Reign™ (Milk Confetti)</t>
  </si>
  <si>
    <t>FP-1230</t>
  </si>
  <si>
    <t>H 7"-9" W 6"</t>
  </si>
  <si>
    <t>Syngonium Cupid's Quiver™ (Neon)</t>
  </si>
  <si>
    <t>FP-1231</t>
  </si>
  <si>
    <t>Syngonium Glacier Reign™ (Snow White/White Butterfly)</t>
  </si>
  <si>
    <t>FP-1119</t>
  </si>
  <si>
    <t>Syngonium Ruby Reign™ (Red Vein)</t>
  </si>
  <si>
    <t>FP-1009</t>
  </si>
  <si>
    <t xml:space="preserve">Tradescantia Feeling Flirty™ </t>
  </si>
  <si>
    <t>FP-892</t>
  </si>
  <si>
    <t>Tradescanatia Feeling Sweet™ (Tenderness)</t>
  </si>
  <si>
    <t>FP-1242</t>
  </si>
  <si>
    <t>Add a cache pot for an additional $2.25 per plant!</t>
  </si>
  <si>
    <t>Aglaonema Bold Forest™ (Zebra)</t>
  </si>
  <si>
    <t>FP-1071</t>
  </si>
  <si>
    <t>14" - 16"</t>
  </si>
  <si>
    <t>$17.99 - $22.99</t>
  </si>
  <si>
    <t>Aglaonema Crystal Vision™ (Stripes)</t>
  </si>
  <si>
    <t>FP-1266</t>
  </si>
  <si>
    <t>Aglaonema Glitter Glamour™ (Silver Bay)</t>
  </si>
  <si>
    <t>FP-1265</t>
  </si>
  <si>
    <t>Aglaonema Ivory Frost™ (Thai White)</t>
  </si>
  <si>
    <t>FP-1268</t>
  </si>
  <si>
    <t>12" - 16"</t>
  </si>
  <si>
    <t>Aglaonema Timeless Tides™ (Silver Queen)</t>
  </si>
  <si>
    <t>FP-1073</t>
  </si>
  <si>
    <t>Alocasia Dragon Scale</t>
  </si>
  <si>
    <t>FP-028</t>
  </si>
  <si>
    <t>10"- 14"</t>
  </si>
  <si>
    <t>Alocasia Dragonite™ (Melo)</t>
  </si>
  <si>
    <t>FP-040</t>
  </si>
  <si>
    <t>9"- 12"</t>
  </si>
  <si>
    <t>Alocasia Into the Night™ (Antoro Velvet)</t>
  </si>
  <si>
    <t>FP-656</t>
  </si>
  <si>
    <t>$26.99 - $29.99</t>
  </si>
  <si>
    <t>Alocasia Jungle Music™ (Siberian Tiger)</t>
  </si>
  <si>
    <t>FP-1205</t>
  </si>
  <si>
    <t>16" - 20"</t>
  </si>
  <si>
    <t>Alocasia Pining For You™ (Scalprum)</t>
  </si>
  <si>
    <t>FP-054</t>
  </si>
  <si>
    <t>11"- 14"</t>
  </si>
  <si>
    <t>Alocasia Quicksilver™  (Reginae/Platinum)</t>
  </si>
  <si>
    <t>FP-1202</t>
  </si>
  <si>
    <t>Alocasia Rumplestiltskin™  (Sinuata)</t>
  </si>
  <si>
    <t>FP-057</t>
  </si>
  <si>
    <t>H 11" - 15" W 11"</t>
  </si>
  <si>
    <t>Alocasia Silver Dragon</t>
  </si>
  <si>
    <t>FP-055</t>
  </si>
  <si>
    <t>Alocasia Tentacular™ (Flying Squid)</t>
  </si>
  <si>
    <t>FP-655</t>
  </si>
  <si>
    <t>Anthurium Michelle™</t>
  </si>
  <si>
    <t>FP-1547</t>
  </si>
  <si>
    <t>2+ leaves &gt;6" long, 10" H</t>
  </si>
  <si>
    <t>Anthurium (Michelle™ x DocBlock Zara™) '28' x DocBlock Zara™ '52'</t>
  </si>
  <si>
    <t>FP-1221</t>
  </si>
  <si>
    <t>Anthurium Angela™ '35' x Michelle™ '1'</t>
  </si>
  <si>
    <t>FP-1987</t>
  </si>
  <si>
    <t>Anthurium Black Widow™ '43' x Black Widow™ '13'</t>
  </si>
  <si>
    <t>FP-1882</t>
  </si>
  <si>
    <t>Anthurium Black Widow™ '43' x Carlablackiae '80'</t>
  </si>
  <si>
    <t>FP00</t>
  </si>
  <si>
    <t>Anthurium Briëlle™ '16' x Briëlle™ '16'</t>
  </si>
  <si>
    <t>FP-1883</t>
  </si>
  <si>
    <t>Anthurium Brown Derby™ '29' x (Michelle™ x DocBlock Zara™) '28'</t>
  </si>
  <si>
    <t>FP-1161</t>
  </si>
  <si>
    <t>Anthurium Brown Derby™ '29' x DocBlock Purple Rain™ '27'</t>
  </si>
  <si>
    <t>FP-1877</t>
  </si>
  <si>
    <t>Anthurium Brown Derby™ '29' x DocBlock Zara™ '3'</t>
  </si>
  <si>
    <t>FP-1686</t>
  </si>
  <si>
    <t>Anthurium Brown Derby™ '29' x Wonderful™ '7'</t>
  </si>
  <si>
    <t>FP-1989</t>
  </si>
  <si>
    <t xml:space="preserve">Anthurium Brown Derby™ '39' x Brown Derby™ '29' </t>
  </si>
  <si>
    <t>FP-1682</t>
  </si>
  <si>
    <t>Anthurium Brown Derby™ '39' x DocBlock Purple Rain™ '27'</t>
  </si>
  <si>
    <t>FP-1340</t>
  </si>
  <si>
    <t>Anthurium Crystallinum '8' x DocBlock Crystal Red™ '12'</t>
  </si>
  <si>
    <t>FP-1151</t>
  </si>
  <si>
    <t>Anthurium DocBlock Crystal Red™ '12' x Angela™ '35'</t>
  </si>
  <si>
    <t>FP-1988</t>
  </si>
  <si>
    <t>Anthurium DocBlock Crystal Red™ '12' x DocBlock Zara™ '3'</t>
  </si>
  <si>
    <t>FP-1220</t>
  </si>
  <si>
    <t>Anthurium DocBlock Dark &amp; Handsome™ '9' x Black Widow™ '13</t>
  </si>
  <si>
    <t>FP-1884</t>
  </si>
  <si>
    <t>Anthurium DocBlock Dark &amp; Handsome™ '9' x DocBlock Dark &amp; Handsome™ '9'</t>
  </si>
  <si>
    <t>FP-1150</t>
  </si>
  <si>
    <t>Anthurium DocBlock Dark &amp; Handsome™ '9' x DocBlock Zara™ '33'</t>
  </si>
  <si>
    <t>FP-1684</t>
  </si>
  <si>
    <t>Anthurium DocBlock Dark &amp; Handsome™ '9' x Red Velvet Cake™ '24'</t>
  </si>
  <si>
    <t>FP-1674</t>
  </si>
  <si>
    <t>Anthurium DocBlock Minerva™ '20' x DocBlock Minerva™ '20'</t>
  </si>
  <si>
    <t>FP-1491</t>
  </si>
  <si>
    <t>Anthurium DocBlock Minerva™ '20' x Michelle™ Long '22'</t>
  </si>
  <si>
    <t>FP01</t>
  </si>
  <si>
    <t>Anthurium DocBlock Zara™ '14' x Home, Sweet Home™ '32'</t>
  </si>
  <si>
    <t>FP-1687</t>
  </si>
  <si>
    <t>Anthurium DocBlock Zara™ '3' x Big Ruby '56'</t>
  </si>
  <si>
    <t>FP-1885</t>
  </si>
  <si>
    <t>Anthurium DocBlock Zara™ '3' x DocBlock Zara™ '33'</t>
  </si>
  <si>
    <t>FP-1683</t>
  </si>
  <si>
    <t>Anthurium DocBlock Zara™ '31' x DocBlock Crystal Red™ '12'</t>
  </si>
  <si>
    <t>FP-1679</t>
  </si>
  <si>
    <t>Anthurium DocBlock Zara™ '33' x Home, Sweet Home™ '32'</t>
  </si>
  <si>
    <t>FP-1681</t>
  </si>
  <si>
    <t>FP-1990</t>
  </si>
  <si>
    <t>Anthurium DocBlock Premier™ - Home, Sweet Home™ '32' x Red Velvet Cake™ '24' - 12</t>
  </si>
  <si>
    <t>Anthurium Magnificent Dark '49' x Brown Derby™ '39'</t>
  </si>
  <si>
    <t>FP-2124</t>
  </si>
  <si>
    <t>Anthurium Magnificent Dark '49' x Home, Sweet Home™ '32'</t>
  </si>
  <si>
    <t>FP-1919</t>
  </si>
  <si>
    <t>Anthurium Michelle™ '1' x DocBlock Zara™ '14'</t>
  </si>
  <si>
    <t>FP-1924</t>
  </si>
  <si>
    <t>Anthurium Michelle™ '1' x Red Velvet Cake™ '24'</t>
  </si>
  <si>
    <t>FP-1677</t>
  </si>
  <si>
    <t>Anthurium Michelle™ '10' x Brown Derby™ '29'</t>
  </si>
  <si>
    <t>FP-1342</t>
  </si>
  <si>
    <t>Anthurium Michelle™ '10' x DocBlock Minerva™ '20</t>
  </si>
  <si>
    <t>FP-1676</t>
  </si>
  <si>
    <t>Anthurium Michelle™ '11' x DocBlock Purple Rain™ '27'</t>
  </si>
  <si>
    <t>FP-2045</t>
  </si>
  <si>
    <t>Anthurium Michelle™ '11' x Michelle™ '1'</t>
  </si>
  <si>
    <t>FP-1152</t>
  </si>
  <si>
    <t>Anthurium Red Velvet Cake™ '24' x Home, Sweet Home™ '32'</t>
  </si>
  <si>
    <t>FP-1673</t>
  </si>
  <si>
    <t>Anthurium Red Velvet Cake™ '24' x Michelle™ '11'</t>
  </si>
  <si>
    <t>FP-1678</t>
  </si>
  <si>
    <t>Anthurium Thor's Lightning™ '30' x Home, Sweet Home™ '32'</t>
  </si>
  <si>
    <t>FP-1680</t>
  </si>
  <si>
    <t>Anthurium Alexandrite is Right™ (Crystallinum)</t>
  </si>
  <si>
    <t>FP-996</t>
  </si>
  <si>
    <t>Anthurium DocBlock Zara™ '31' x Tortoise Shell™ Grey '36'</t>
  </si>
  <si>
    <t>FP-2126</t>
  </si>
  <si>
    <t>Anthurium Heart's Afire™ (Magnificum)</t>
  </si>
  <si>
    <t>FP-1024</t>
  </si>
  <si>
    <t>$99.99 - $114.99</t>
  </si>
  <si>
    <t>Anthurium Heart's Desire™ (Silver Blush)</t>
  </si>
  <si>
    <t>FP-916</t>
  </si>
  <si>
    <t>8" - 16"</t>
  </si>
  <si>
    <t>Apoballis Opulence™ (Red Sword)</t>
  </si>
  <si>
    <t>FP-1062</t>
  </si>
  <si>
    <t>Begonia Criss Cross™ (Masonia Mountain/Rock)</t>
  </si>
  <si>
    <t>FP-527</t>
  </si>
  <si>
    <t>10" - 14"</t>
  </si>
  <si>
    <t>Begonia Crystalline Sparkle™ (Masoniana Jungle)</t>
  </si>
  <si>
    <t>FP-1213</t>
  </si>
  <si>
    <t>Calathea Elger grass</t>
  </si>
  <si>
    <t>FP-082</t>
  </si>
  <si>
    <t>12"- 16"</t>
  </si>
  <si>
    <t>Calathea Freddie</t>
  </si>
  <si>
    <t>FP-085</t>
  </si>
  <si>
    <t>Calathea Insignis™  (lancifolia)</t>
  </si>
  <si>
    <t>FP-088</t>
  </si>
  <si>
    <t>Calathea Lancelot™ (Wave Star)</t>
  </si>
  <si>
    <t>FP-738</t>
  </si>
  <si>
    <t>14" "</t>
  </si>
  <si>
    <t>Calathea Like a Prayer™ (Marion)</t>
  </si>
  <si>
    <t>FP-737</t>
  </si>
  <si>
    <t>Calathea Makoyona</t>
  </si>
  <si>
    <t>FP-091</t>
  </si>
  <si>
    <t>Calathea Medallion</t>
  </si>
  <si>
    <t>FP-094</t>
  </si>
  <si>
    <t>Calathea Orbifolia</t>
  </si>
  <si>
    <t>FP-098</t>
  </si>
  <si>
    <t>Calathea Ornata Beauty Star</t>
  </si>
  <si>
    <t>FP-100</t>
  </si>
  <si>
    <t>Calathea Ornata sanderiana</t>
  </si>
  <si>
    <t>FP-101</t>
  </si>
  <si>
    <t xml:space="preserve">Calathea Rufibarba </t>
  </si>
  <si>
    <t>FP-106</t>
  </si>
  <si>
    <t>Calathea Thoreau™  (Misto)</t>
  </si>
  <si>
    <t>FP-096</t>
  </si>
  <si>
    <t xml:space="preserve">Calathea Xena™  (Tropistar) </t>
  </si>
  <si>
    <t>FP-707</t>
  </si>
  <si>
    <t>Ctenanthe Burle-marxii</t>
  </si>
  <si>
    <t>FP-706</t>
  </si>
  <si>
    <t>7"- 10"</t>
  </si>
  <si>
    <t>Ctenanthe Burle-marxii Amagris</t>
  </si>
  <si>
    <t>FP-123</t>
  </si>
  <si>
    <t>Ctenanthe Neverland (Golden Mosaic)</t>
  </si>
  <si>
    <t>FP-424</t>
  </si>
  <si>
    <t>Ctenanthe Setosa Exotica</t>
  </si>
  <si>
    <t>FP-918</t>
  </si>
  <si>
    <t>14" - 18"</t>
  </si>
  <si>
    <t>Ctenanthe Setosa Grey Star</t>
  </si>
  <si>
    <t>FP-1183</t>
  </si>
  <si>
    <t>Epipremnum Golden Glen™</t>
  </si>
  <si>
    <t>H 8" - 12" W 8"</t>
  </si>
  <si>
    <t>Epipremnum Golden Glen™ -12</t>
  </si>
  <si>
    <t xml:space="preserve">Epipremnum Green Isle™ </t>
  </si>
  <si>
    <t>Epipremnum Green Isle™ -12</t>
  </si>
  <si>
    <t>FP-151</t>
  </si>
  <si>
    <t xml:space="preserve">H 8"- 10" W 8" - 10" </t>
  </si>
  <si>
    <t>Fern Asplenium Hurricane (Twisted Birds Nest)</t>
  </si>
  <si>
    <t>FP-402</t>
  </si>
  <si>
    <t>8"- 12"</t>
  </si>
  <si>
    <t>Fern Asplenium Mother</t>
  </si>
  <si>
    <t>FP-180</t>
  </si>
  <si>
    <t>Fern Asplenium Victoria (Japanese Bird's Nest Fern)</t>
  </si>
  <si>
    <t>FP-159</t>
  </si>
  <si>
    <t>H 9" - 14" W 12"</t>
  </si>
  <si>
    <t>Fern Bird's Nest Antiquum</t>
  </si>
  <si>
    <t>FP-157</t>
  </si>
  <si>
    <t>Fern Phlebodium Davana</t>
  </si>
  <si>
    <t>FP-163</t>
  </si>
  <si>
    <t>H 11"- 16" W 12"</t>
  </si>
  <si>
    <t>FP-640</t>
  </si>
  <si>
    <t>12" "</t>
  </si>
  <si>
    <t>Ruffled Arrow™ (Rumohra adiantiformis)</t>
  </si>
  <si>
    <t>FP-1910</t>
  </si>
  <si>
    <t>H 10" - 12" W 12"</t>
  </si>
  <si>
    <t>Ficus Ghost Rider™ (Shivereana)</t>
  </si>
  <si>
    <t>FP-234</t>
  </si>
  <si>
    <t xml:space="preserve">Ficus Mini Zen™ (Cyathistipula Mini) </t>
  </si>
  <si>
    <t>FP-1219</t>
  </si>
  <si>
    <t>14""</t>
  </si>
  <si>
    <t>Ficus benjamina Anastasia</t>
  </si>
  <si>
    <t>FP-198</t>
  </si>
  <si>
    <t>Ficus benjamina Danielle</t>
  </si>
  <si>
    <t>FP-203</t>
  </si>
  <si>
    <t>Ficus benjamina Over the Edge™ (Samantha)</t>
  </si>
  <si>
    <t>FP-213</t>
  </si>
  <si>
    <t>Ficus elastica Abidjan</t>
  </si>
  <si>
    <t>FP-221</t>
  </si>
  <si>
    <t>Ficus elastica Belize</t>
  </si>
  <si>
    <t>FP-224</t>
  </si>
  <si>
    <t>Ficus elastica Chloe</t>
  </si>
  <si>
    <t>FP-227</t>
  </si>
  <si>
    <t>Ficus elastica Tineke</t>
  </si>
  <si>
    <t>FP-235</t>
  </si>
  <si>
    <t xml:space="preserve">Geogenanthus Roxie™ (Poeppigii) </t>
  </si>
  <si>
    <t>FP-667</t>
  </si>
  <si>
    <t>H 8"-12" W 8"</t>
  </si>
  <si>
    <t>Homalomena Uplift™ (Camouflage)</t>
  </si>
  <si>
    <t>FP-430</t>
  </si>
  <si>
    <t xml:space="preserve">Hoya Blushing Sunset™ (Wibergiae) </t>
  </si>
  <si>
    <t>FP-1436</t>
  </si>
  <si>
    <t>6" - 14"</t>
  </si>
  <si>
    <t>FP-2065</t>
  </si>
  <si>
    <t>H 7" to 10, W 6" to 8"</t>
  </si>
  <si>
    <t>Hoya Coastal Ripple™ (Erythrina)</t>
  </si>
  <si>
    <t>FP-1034</t>
  </si>
  <si>
    <t>7" - 14"</t>
  </si>
  <si>
    <t>Hoya Fresh Rain™ (Rangsan)</t>
  </si>
  <si>
    <t>FP-1134</t>
  </si>
  <si>
    <t>Hoya Latifolia Pot of Gold</t>
  </si>
  <si>
    <t>FP-1516</t>
  </si>
  <si>
    <t xml:space="preserve">Hoya Night Sparrow™ (Clemensiorum Dark Leaf) </t>
  </si>
  <si>
    <t>FP-1270</t>
  </si>
  <si>
    <t>Hoya Quinquenervia</t>
  </si>
  <si>
    <t>FP-1038</t>
  </si>
  <si>
    <t xml:space="preserve"> Hoya Reef Rider™ (Latifolia Albomarginata) </t>
  </si>
  <si>
    <t>FP-1040</t>
  </si>
  <si>
    <t xml:space="preserve">Hoya Sabah </t>
  </si>
  <si>
    <t>FP-1272</t>
  </si>
  <si>
    <t>Hoya Sarawak Cream</t>
  </si>
  <si>
    <t>FP-1035</t>
  </si>
  <si>
    <t>Hoya Shadow Falls™ (Callistophylla KAL 16)</t>
  </si>
  <si>
    <t>FP-1136</t>
  </si>
  <si>
    <t>Hoya Shining Sea Star™ (Flamingo Dream)</t>
  </si>
  <si>
    <t>FP-1039</t>
  </si>
  <si>
    <t xml:space="preserve">Hoya Vangviengiensis </t>
  </si>
  <si>
    <t>FP-2144</t>
  </si>
  <si>
    <t xml:space="preserve">Labisia Kura Kura™ (Turtle Back) </t>
  </si>
  <si>
    <t>FP-1149</t>
  </si>
  <si>
    <t>Maranta Say Grace™ (Kerchoveana Variegata)</t>
  </si>
  <si>
    <t>FP-1007</t>
  </si>
  <si>
    <t>Monstera Adansonii</t>
  </si>
  <si>
    <t>FP-256</t>
  </si>
  <si>
    <t>Monstera Spotsylvania™ (Thai Constellation)</t>
  </si>
  <si>
    <t>FP-1206</t>
  </si>
  <si>
    <t>15" " with 4 leaves</t>
  </si>
  <si>
    <t>Philodendron Atabapoense</t>
  </si>
  <si>
    <t>N/A</t>
  </si>
  <si>
    <t>Philodendron Birkin</t>
  </si>
  <si>
    <t>FP-275</t>
  </si>
  <si>
    <t>Philodendron Brandtianum</t>
  </si>
  <si>
    <t>FP-279</t>
  </si>
  <si>
    <t>Philodendron Deviant™ (Rugosum Aberant)</t>
  </si>
  <si>
    <t>FP-1063</t>
  </si>
  <si>
    <t>10" - 16"</t>
  </si>
  <si>
    <t xml:space="preserve">Philodendron Double-edged Sword™ (Golden Ring of Fire/Rambo) </t>
  </si>
  <si>
    <t>FP-541</t>
  </si>
  <si>
    <t>Philodendron Fall Leaves™ (McColley's Finale/Cherry Red)</t>
  </si>
  <si>
    <t>FP-306</t>
  </si>
  <si>
    <t>Philodendron Fozzie™ (Nangaritense Fuzzy Petiole)</t>
  </si>
  <si>
    <t>FP-315</t>
  </si>
  <si>
    <t>Philodendron Golden Apple™ (Stenolobum Narrow/Golden Narrow)</t>
  </si>
  <si>
    <t>FP-1501</t>
  </si>
  <si>
    <t>Philodendron Golden Girl™ (Golden Ring of Fire)</t>
  </si>
  <si>
    <t>FP-434</t>
  </si>
  <si>
    <t>12"-16"</t>
  </si>
  <si>
    <t>Philodendron Orange Smooth™ (Billietae)</t>
  </si>
  <si>
    <t>FP-638</t>
  </si>
  <si>
    <t>Philodendron Orange You Gorgeous™ (Orange Marmalade)</t>
  </si>
  <si>
    <t>FP-785</t>
  </si>
  <si>
    <t>Philodendron Pink Princess</t>
  </si>
  <si>
    <t>FP-320</t>
  </si>
  <si>
    <t>Philodendron Pop Art™ (Black Cardinal)</t>
  </si>
  <si>
    <t>FP-277</t>
  </si>
  <si>
    <t>11" - 14"</t>
  </si>
  <si>
    <t>Philodendron Prince of Orange</t>
  </si>
  <si>
    <t>FP-323</t>
  </si>
  <si>
    <t>Philodendron Regal Rouge™ (Orange Mutant Red Imperial II)</t>
  </si>
  <si>
    <t>FP-1061</t>
  </si>
  <si>
    <t>Philodendron Rojo Congo</t>
  </si>
  <si>
    <t>FP-327</t>
  </si>
  <si>
    <t>Philodendron Ruby Ripcurl™ (Red Heart)</t>
  </si>
  <si>
    <t>FP-836</t>
  </si>
  <si>
    <t>Philodendron Sun Red</t>
  </si>
  <si>
    <t>FP-338</t>
  </si>
  <si>
    <t>Philodendron Toasted Toffee™ (El Choco Red)</t>
  </si>
  <si>
    <t>FP-1237</t>
  </si>
  <si>
    <t>Philodendron White Wizzard</t>
  </si>
  <si>
    <t>FP-438</t>
  </si>
  <si>
    <t>Philodendron Splash Dash™ (White Princess)</t>
  </si>
  <si>
    <t>FP-699</t>
  </si>
  <si>
    <t>Philodendron Twisted Sister™ (Tortum)</t>
  </si>
  <si>
    <t>FP-639</t>
  </si>
  <si>
    <t>Piper Pink Crocodile™ (Crocatum)</t>
  </si>
  <si>
    <t>FP-1055</t>
  </si>
  <si>
    <t>Piper Salmon Sky™ (Indonesia Pink)</t>
  </si>
  <si>
    <t>FP-1049</t>
  </si>
  <si>
    <t>Piper Tahitian Dreamin'™ (Sylvaticum)</t>
  </si>
  <si>
    <t>FP-1054</t>
  </si>
  <si>
    <t xml:space="preserve">Scindapsus Kalimantan </t>
  </si>
  <si>
    <t>FP-1086</t>
  </si>
  <si>
    <t>H 6" - 8" W 8"</t>
  </si>
  <si>
    <t>Scindapsus Silver Splash</t>
  </si>
  <si>
    <t>FP-1282</t>
  </si>
  <si>
    <t>Stromanthe Stripestar</t>
  </si>
  <si>
    <t>FP-110</t>
  </si>
  <si>
    <t>Stromanthe Triostar</t>
  </si>
  <si>
    <t>FP-112</t>
  </si>
  <si>
    <t>Tradescantia Feeling Flirty™</t>
  </si>
  <si>
    <t>FP-371</t>
  </si>
  <si>
    <t xml:space="preserve">H 7"- 10" W - 8" </t>
  </si>
  <si>
    <t>Tradescantia Feeling Frosty™ (Brightness)</t>
  </si>
  <si>
    <t>FP-1193</t>
  </si>
  <si>
    <t>Please order in quantities of 6</t>
  </si>
  <si>
    <t>HB</t>
  </si>
  <si>
    <t xml:space="preserve">Calathea Color Full™ Insignis™ </t>
  </si>
  <si>
    <t>$24.99-26.99</t>
  </si>
  <si>
    <t xml:space="preserve">Calathea Color Full™ Soft Kitty™  </t>
  </si>
  <si>
    <t>Epipremnum Beautifall® Njoy</t>
  </si>
  <si>
    <t xml:space="preserve">H 8"-10"  W 8"- 10" </t>
  </si>
  <si>
    <t>Fern Living Lace® Davana</t>
  </si>
  <si>
    <t>H 11-16"W 12"</t>
  </si>
  <si>
    <t xml:space="preserve">Fern Living Lace® Hurricane </t>
  </si>
  <si>
    <t>Fern Living Lace® Mother</t>
  </si>
  <si>
    <t>Fern Living Lace® TriColor</t>
  </si>
  <si>
    <t xml:space="preserve">Fern Living Lace® Victoria </t>
  </si>
  <si>
    <t xml:space="preserve">Monstera Mysteria™ Adansonii  </t>
  </si>
  <si>
    <t>Philodendron Prismacolor™ Birkin</t>
  </si>
  <si>
    <t>Stromanthe Socialite™ Triostar</t>
  </si>
  <si>
    <t xml:space="preserve">H 7-10" W 8" </t>
  </si>
  <si>
    <t>Add a cache pot for an additional $3.47 per plant!</t>
  </si>
  <si>
    <t>Alocasia Blackout™ (Zebrina Black)</t>
  </si>
  <si>
    <t>FP-890</t>
  </si>
  <si>
    <t>22" - 27"</t>
  </si>
  <si>
    <t>$32.99 - $34.99</t>
  </si>
  <si>
    <t>Alocasia Cucullata</t>
  </si>
  <si>
    <t>FP-026</t>
  </si>
  <si>
    <t>20"- 24"</t>
  </si>
  <si>
    <t>FP-029</t>
  </si>
  <si>
    <t>Alocasia Frydek</t>
  </si>
  <si>
    <t>FP-032</t>
  </si>
  <si>
    <t>18"- 22"</t>
  </si>
  <si>
    <t>Alocasia Jungle Cat™ (Tigrina Superba)</t>
  </si>
  <si>
    <t>FP-549</t>
  </si>
  <si>
    <t>FP-891</t>
  </si>
  <si>
    <t>22" - 26"</t>
  </si>
  <si>
    <t>Alocasia Lauterbachiana</t>
  </si>
  <si>
    <t>FP-037</t>
  </si>
  <si>
    <t>24" - 27"</t>
  </si>
  <si>
    <t>Alocasia Longiloba</t>
  </si>
  <si>
    <t>FP-038</t>
  </si>
  <si>
    <t>20" - 25"</t>
  </si>
  <si>
    <t>Alocasia Zebrina</t>
  </si>
  <si>
    <t>FP12</t>
  </si>
  <si>
    <t>3 leaves &gt;6" long</t>
  </si>
  <si>
    <t>FP-1940</t>
  </si>
  <si>
    <t>FP-1936</t>
  </si>
  <si>
    <t xml:space="preserve"> Anthurium Brown Derby™ '39' x DocBlock Purple Rain™ '27'</t>
  </si>
  <si>
    <t>FP-1935</t>
  </si>
  <si>
    <t>FP-1937</t>
  </si>
  <si>
    <t>Anthurium DocBlock Crystal Red '12' x DocBlock Zara™ '3'</t>
  </si>
  <si>
    <t>FP-1941</t>
  </si>
  <si>
    <t>FP-1939</t>
  </si>
  <si>
    <t>FP-1543</t>
  </si>
  <si>
    <t>16"-24"</t>
  </si>
  <si>
    <t xml:space="preserve">Calathea Lancelot™ (Wave Star)  </t>
  </si>
  <si>
    <t>FP-492</t>
  </si>
  <si>
    <t>FP-1199</t>
  </si>
  <si>
    <t>16" - 21"</t>
  </si>
  <si>
    <t>FP-095</t>
  </si>
  <si>
    <t>16"- 21"</t>
  </si>
  <si>
    <t>FP-099</t>
  </si>
  <si>
    <t>H 12" - 16" W 16"</t>
  </si>
  <si>
    <t>Calathea Ornata Sanderiana</t>
  </si>
  <si>
    <t>FP-1180</t>
  </si>
  <si>
    <t xml:space="preserve">Calathea Thoreau™ (Misto) </t>
  </si>
  <si>
    <t>FP-1991</t>
  </si>
  <si>
    <t>FP-907</t>
  </si>
  <si>
    <t>Ctenanthe Neverland™ (Golden Mosaic)</t>
  </si>
  <si>
    <t>FP-443</t>
  </si>
  <si>
    <t>18" - 24"</t>
  </si>
  <si>
    <t>FP-124</t>
  </si>
  <si>
    <t>FP-125</t>
  </si>
  <si>
    <t>Dieffenbachia Ocelot™ (Cheetah)</t>
  </si>
  <si>
    <t>FP-504</t>
  </si>
  <si>
    <t>Dieffenbachia Tasmanian Tiger™ (Maroba)</t>
  </si>
  <si>
    <t>FP-134</t>
  </si>
  <si>
    <t>FP-160</t>
  </si>
  <si>
    <t>H 14" - 20" W 14"</t>
  </si>
  <si>
    <t>FP-164</t>
  </si>
  <si>
    <t>Fern Platycerium Sword Dance™ (Staghorn)</t>
  </si>
  <si>
    <t>FP-2115</t>
  </si>
  <si>
    <t>15"-20"</t>
  </si>
  <si>
    <t>Ficus Celebrate™ (Smile)</t>
  </si>
  <si>
    <t>FP-893</t>
  </si>
  <si>
    <t>Ficus Cyathistipula</t>
  </si>
  <si>
    <t>FP-219</t>
  </si>
  <si>
    <t>21"- 28"</t>
  </si>
  <si>
    <t>Ficus Happiness™ (Joy)</t>
  </si>
  <si>
    <t>FP-894</t>
  </si>
  <si>
    <t>FP-218</t>
  </si>
  <si>
    <t>22" - 24"</t>
  </si>
  <si>
    <t>Ficus Umbellata</t>
  </si>
  <si>
    <t>FP-244</t>
  </si>
  <si>
    <t>FP-199</t>
  </si>
  <si>
    <t>21"- 24"</t>
  </si>
  <si>
    <t>FP-204</t>
  </si>
  <si>
    <t>FP-214</t>
  </si>
  <si>
    <t>FP-222</t>
  </si>
  <si>
    <t>22"- 26"</t>
  </si>
  <si>
    <t>FP-225</t>
  </si>
  <si>
    <t>Ficus elastica Robusta</t>
  </si>
  <si>
    <t>FP-232</t>
  </si>
  <si>
    <t>FP-236</t>
  </si>
  <si>
    <t xml:space="preserve">Homalomena Sea Turtle™ (Maggy) </t>
  </si>
  <si>
    <t>FP-250</t>
  </si>
  <si>
    <t>FP-1929</t>
  </si>
  <si>
    <t>18"-21"</t>
  </si>
  <si>
    <t>Monstera Deliciosa</t>
  </si>
  <si>
    <t>FP-260</t>
  </si>
  <si>
    <t xml:space="preserve">Monstera Spotsylvania™ (Thai Constellation) </t>
  </si>
  <si>
    <t>FP-497</t>
  </si>
  <si>
    <t>20" - 24"</t>
  </si>
  <si>
    <t>$39.99 - $42.99</t>
  </si>
  <si>
    <t>FP-1545</t>
  </si>
  <si>
    <t>14"- 18"</t>
  </si>
  <si>
    <t>FP-276</t>
  </si>
  <si>
    <t xml:space="preserve">Philodendron Bronze </t>
  </si>
  <si>
    <t>FP-807</t>
  </si>
  <si>
    <t>FP-450</t>
  </si>
  <si>
    <t xml:space="preserve">Philodendron Electric Eel™ (Joepii) </t>
  </si>
  <si>
    <t>FP-670</t>
  </si>
  <si>
    <t>Philodendron Emerald Ripcurl™ (Squamiferum)</t>
  </si>
  <si>
    <t>FP-455</t>
  </si>
  <si>
    <t>H 14"- 18" W 14"</t>
  </si>
  <si>
    <t>Philodendron Florida Green</t>
  </si>
  <si>
    <t>FP-289</t>
  </si>
  <si>
    <t xml:space="preserve">Philodendron Fozzie™ (Nangaritense Fuzzy Petiole) w Moss Pole  </t>
  </si>
  <si>
    <t>FP-316</t>
  </si>
  <si>
    <t>Philodendron Gloriosum</t>
  </si>
  <si>
    <t>FP-290</t>
  </si>
  <si>
    <t>18"- 21"</t>
  </si>
  <si>
    <t>Philodendron Mayoi</t>
  </si>
  <si>
    <t>FP-305</t>
  </si>
  <si>
    <t>FP-328</t>
  </si>
  <si>
    <t>FP-1867</t>
  </si>
  <si>
    <t>Philodendron silver sword w Moss Pole</t>
  </si>
  <si>
    <t>FP-335</t>
  </si>
  <si>
    <t>$49.99 - $59.99</t>
  </si>
  <si>
    <t xml:space="preserve">Philodendron Twisted Sister™ (Tortum) </t>
  </si>
  <si>
    <t>FP-649</t>
  </si>
  <si>
    <t>Philodendron Zigzag™ (Pluto)</t>
  </si>
  <si>
    <t>FP-924</t>
  </si>
  <si>
    <t>Orange You Gorgeous™ (Orange Marmalade)</t>
  </si>
  <si>
    <t>FP-1840</t>
  </si>
  <si>
    <t xml:space="preserve">Schismatoglottis Gothic™ (Wallichi)  </t>
  </si>
  <si>
    <t>FP-351</t>
  </si>
  <si>
    <t>Schismatoglottis Rivera™ (Wallichii 190822)</t>
  </si>
  <si>
    <t>FP-702</t>
  </si>
  <si>
    <t>Leafjoy Littles</t>
  </si>
  <si>
    <t>FP-1288</t>
  </si>
  <si>
    <t xml:space="preserve">TRIAL - Begonia Kingiana Dark </t>
  </si>
  <si>
    <t>FP-2154</t>
  </si>
  <si>
    <t xml:space="preserve">TRIAL - Begonia Pink Spot </t>
  </si>
  <si>
    <t>FP-1296</t>
  </si>
  <si>
    <t>10" "</t>
  </si>
  <si>
    <t xml:space="preserve">TRIAL - Begonia Red Slippers </t>
  </si>
  <si>
    <t>FP-1291</t>
  </si>
  <si>
    <t>8" "</t>
  </si>
  <si>
    <t xml:space="preserve">TRIAL - Begonia Rex Escargot </t>
  </si>
  <si>
    <t>FP-1293</t>
  </si>
  <si>
    <t xml:space="preserve">TRIAL - Begonia Rex Salsa </t>
  </si>
  <si>
    <t>FP-1526</t>
  </si>
  <si>
    <t xml:space="preserve">TRIAL - Begonia Snow Capped </t>
  </si>
  <si>
    <t>FP-1295</t>
  </si>
  <si>
    <t>TRIAL - Begonia Spotlight Dark</t>
  </si>
  <si>
    <t>FP-2130</t>
  </si>
  <si>
    <t>TRIAL - Begonia Spotlight Green</t>
  </si>
  <si>
    <t>FP-2131</t>
  </si>
  <si>
    <t xml:space="preserve">TRIAL - Chlorophytum Atlentic </t>
  </si>
  <si>
    <t>FP-1609</t>
  </si>
  <si>
    <t>H 7" W 7"</t>
  </si>
  <si>
    <t xml:space="preserve">TRIAL - Chlorophytum Lemon </t>
  </si>
  <si>
    <t>FP-1610</t>
  </si>
  <si>
    <t xml:space="preserve">TRIAL - Chlorophytum Reverse </t>
  </si>
  <si>
    <t>FP-1297</t>
  </si>
  <si>
    <t xml:space="preserve">TRIAL - Chlorophytum Variegatum </t>
  </si>
  <si>
    <t>FP-1607</t>
  </si>
  <si>
    <t xml:space="preserve">TRIAL - Episcia Country Brilliance </t>
  </si>
  <si>
    <t>FP-1521</t>
  </si>
  <si>
    <t xml:space="preserve">TRIAL - Episcia Joy Sweetie Pink </t>
  </si>
  <si>
    <t>FP-1517</t>
  </si>
  <si>
    <t xml:space="preserve">TRIAL - Episcia Malayan Gem </t>
  </si>
  <si>
    <t>FP-1407</t>
  </si>
  <si>
    <t xml:space="preserve">TRIAL - Episcia Pink Acajou </t>
  </si>
  <si>
    <t>FP-1408</t>
  </si>
  <si>
    <t xml:space="preserve">TRIAL - Episcia Red Crocodile </t>
  </si>
  <si>
    <t>FP-1519</t>
  </si>
  <si>
    <t xml:space="preserve">TRIAL - Episcia Silver Shield </t>
  </si>
  <si>
    <t>FP-1409</t>
  </si>
  <si>
    <t xml:space="preserve">TRIAL - Actiniopteris Australis </t>
  </si>
  <si>
    <t>FP-1850</t>
  </si>
  <si>
    <t>8"</t>
  </si>
  <si>
    <t xml:space="preserve">TRIAL - Adiantum Fritz Luthi </t>
  </si>
  <si>
    <t>FP-1851</t>
  </si>
  <si>
    <t>H 8" " W 7"</t>
  </si>
  <si>
    <t xml:space="preserve">TRIAL - Aspenium Ebenoides </t>
  </si>
  <si>
    <t>FP-1897</t>
  </si>
  <si>
    <t xml:space="preserve">TRIAL - Fern Davallia Tyermannii </t>
  </si>
  <si>
    <t>FP-1431</t>
  </si>
  <si>
    <t xml:space="preserve">TRIAL - Dryopteris Linearis Polydatila </t>
  </si>
  <si>
    <t>FP-1852</t>
  </si>
  <si>
    <t xml:space="preserve">TRIAL - Fern Fluffy Ruffles </t>
  </si>
  <si>
    <t>FP-2180</t>
  </si>
  <si>
    <t>H 8" - 14"</t>
  </si>
  <si>
    <t xml:space="preserve">TRIAL - Hemionitis Arifolia </t>
  </si>
  <si>
    <t>FP-1853</t>
  </si>
  <si>
    <t xml:space="preserve">TRIAL - Microsorum Diversifolium </t>
  </si>
  <si>
    <t>FP-1854</t>
  </si>
  <si>
    <t>H 7" - 10" W 5"</t>
  </si>
  <si>
    <t xml:space="preserve">TRIAL - Nephrolepis Green Fantasy </t>
  </si>
  <si>
    <t>FP-1855</t>
  </si>
  <si>
    <t>9" - 14"</t>
  </si>
  <si>
    <t xml:space="preserve">TRIAL - Pellaea Rotundifolia </t>
  </si>
  <si>
    <t>FP-1856</t>
  </si>
  <si>
    <t>H 6" - 9" W 6"</t>
  </si>
  <si>
    <t xml:space="preserve">TRIAL - Phyllitis Angustifolia </t>
  </si>
  <si>
    <t>FP-1858</t>
  </si>
  <si>
    <t xml:space="preserve">TRIAL - Phyllitis Cristata </t>
  </si>
  <si>
    <t>FP-1859</t>
  </si>
  <si>
    <t xml:space="preserve">TRIAL - Phyllitis Scolopendrium </t>
  </si>
  <si>
    <t>FP-1857</t>
  </si>
  <si>
    <t xml:space="preserve">TRIAL - Phyllitis Scolopendrium Undulata </t>
  </si>
  <si>
    <t>FP-1860</t>
  </si>
  <si>
    <t xml:space="preserve">TRIAL - Polystichum Densum </t>
  </si>
  <si>
    <t>FP-1861</t>
  </si>
  <si>
    <t>H 8" - 10" W 8"</t>
  </si>
  <si>
    <t xml:space="preserve">TRIAL - Polystichum Polyblepharum </t>
  </si>
  <si>
    <t>FP-1865</t>
  </si>
  <si>
    <t>H 9" - 14" W 8"</t>
  </si>
  <si>
    <t xml:space="preserve">TRIAL - Fern Polystichum Rigens </t>
  </si>
  <si>
    <t>FP-2134</t>
  </si>
  <si>
    <t>7" "</t>
  </si>
  <si>
    <t xml:space="preserve">TRIAL - Fittonia Albivenis Red </t>
  </si>
  <si>
    <t>FP-1435</t>
  </si>
  <si>
    <t>H 4.5" W 5"</t>
  </si>
  <si>
    <t xml:space="preserve">TRIAL - Fittonia Firetail </t>
  </si>
  <si>
    <t>FP-970</t>
  </si>
  <si>
    <t xml:space="preserve">TRIAL - Fittonia Joly Lemon </t>
  </si>
  <si>
    <t>FP-862</t>
  </si>
  <si>
    <t xml:space="preserve">TRIAL - Fittonia Light Pink Anne </t>
  </si>
  <si>
    <t>FP-1452</t>
  </si>
  <si>
    <t xml:space="preserve">TRIAL - Fittonia Mistral </t>
  </si>
  <si>
    <t>FP-864</t>
  </si>
  <si>
    <t xml:space="preserve">TRIAL - Fittonia Pink Anne </t>
  </si>
  <si>
    <t>FP-868</t>
  </si>
  <si>
    <t xml:space="preserve">TRIAL - Fittonia Whisper </t>
  </si>
  <si>
    <t>FP-976</t>
  </si>
  <si>
    <t xml:space="preserve">TRIAL - Fittonia Zalm Ruby Lime </t>
  </si>
  <si>
    <t>FP-863</t>
  </si>
  <si>
    <t xml:space="preserve">TRIAL - Hedera Asterisk </t>
  </si>
  <si>
    <t>FP-1550</t>
  </si>
  <si>
    <t>H 6-8" W 6"</t>
  </si>
  <si>
    <t xml:space="preserve">TRIAL - Hedera Glacier </t>
  </si>
  <si>
    <t>FP-1548</t>
  </si>
  <si>
    <t xml:space="preserve">TRIAL - Hedera Goldstern </t>
  </si>
  <si>
    <t>FP-901</t>
  </si>
  <si>
    <t xml:space="preserve">TRIAL - Hedera Luzii </t>
  </si>
  <si>
    <t>FP-9025</t>
  </si>
  <si>
    <t xml:space="preserve">TRIAL - Hedera Mini Esther </t>
  </si>
  <si>
    <t>FP-1549</t>
  </si>
  <si>
    <t>H 5-8" W 5"</t>
  </si>
  <si>
    <t xml:space="preserve">TRIAL - Hedera Yellow Ripple </t>
  </si>
  <si>
    <t>FP-906</t>
  </si>
  <si>
    <t>TRIAL- Hoya Australis Lisa</t>
  </si>
  <si>
    <t>FP-2120</t>
  </si>
  <si>
    <t>H 6" W 5"</t>
  </si>
  <si>
    <t xml:space="preserve">TRIAL - Hoya Crassiopetiolata Splash Round Leaf </t>
  </si>
  <si>
    <t>FP-1298</t>
  </si>
  <si>
    <t>H 6" W 6"</t>
  </si>
  <si>
    <t xml:space="preserve">TRIAL - Hoya Curtisii </t>
  </si>
  <si>
    <t>FP-1185</t>
  </si>
  <si>
    <t>H 5" W 5"</t>
  </si>
  <si>
    <t xml:space="preserve">TRIAL - Hoya Gracilis </t>
  </si>
  <si>
    <t>FP-1370</t>
  </si>
  <si>
    <t xml:space="preserve">TRIAL - Hoya Heuschkeliana Variegated </t>
  </si>
  <si>
    <t>FP-1300</t>
  </si>
  <si>
    <t xml:space="preserve">TRIAL - Hoya Krinkle 8 </t>
  </si>
  <si>
    <t>FP-1301</t>
  </si>
  <si>
    <t xml:space="preserve">TRIAL - Hoya Krohniana Eskimo </t>
  </si>
  <si>
    <t>FP-2052</t>
  </si>
  <si>
    <t xml:space="preserve">H 6" - 10" </t>
  </si>
  <si>
    <t xml:space="preserve">TRIAL - Hoya Sigillatis </t>
  </si>
  <si>
    <t>FP-1046</t>
  </si>
  <si>
    <t xml:space="preserve">TRIAL - Hoya Zambales </t>
  </si>
  <si>
    <t>FP-1304</t>
  </si>
  <si>
    <t>H 4" W 5"</t>
  </si>
  <si>
    <t xml:space="preserve">TRIAL - Peperomia Angulata Rocca High </t>
  </si>
  <si>
    <t>FP-2069</t>
  </si>
  <si>
    <t xml:space="preserve">TRIAL - Peperomia Caperata Greyhound </t>
  </si>
  <si>
    <t>FP-1566</t>
  </si>
  <si>
    <t xml:space="preserve">TRIAL - Peperomia Caperata Milano </t>
  </si>
  <si>
    <t>FP-2070</t>
  </si>
  <si>
    <t xml:space="preserve">TRIAL - Peperomia Caperata Moonlight </t>
  </si>
  <si>
    <t>FP-2071</t>
  </si>
  <si>
    <t xml:space="preserve">TRIAL - Peperomia Caperata Moonshine </t>
  </si>
  <si>
    <t xml:space="preserve">TRIAL - Peperomia Caperata Royal Princess </t>
  </si>
  <si>
    <t>FP-2072</t>
  </si>
  <si>
    <t xml:space="preserve">TRIAL - Peperomia Caperata Sunrise </t>
  </si>
  <si>
    <t>FP-1567</t>
  </si>
  <si>
    <t xml:space="preserve">TRIAL - Peperomia clusiifolia compact </t>
  </si>
  <si>
    <t xml:space="preserve">TRIAL - Peperomia Clusiifolia Red Margin </t>
  </si>
  <si>
    <t>FP-1568</t>
  </si>
  <si>
    <t xml:space="preserve">TRIAL - Peperomia Napoli Night </t>
  </si>
  <si>
    <t>FP-2075</t>
  </si>
  <si>
    <t xml:space="preserve">TRIAL - Peperomia Obtusifolia Speckled </t>
  </si>
  <si>
    <t>FP-1931</t>
  </si>
  <si>
    <t xml:space="preserve">TRIAL - Peperomia Obtusifolia Twocolor </t>
  </si>
  <si>
    <t>FP-1932</t>
  </si>
  <si>
    <t xml:space="preserve">TRAIL - Peperomia Prostrata </t>
  </si>
  <si>
    <t>FP-1107</t>
  </si>
  <si>
    <t xml:space="preserve">TRIAL - Peperomia sarcophylla smaragd XXL </t>
  </si>
  <si>
    <t>FP-2076</t>
  </si>
  <si>
    <t xml:space="preserve">TRIAL - Peperomia Vestita Velvetree </t>
  </si>
  <si>
    <t>FP-2078</t>
  </si>
  <si>
    <t xml:space="preserve">TRIAL - Philodendron Brazil </t>
  </si>
  <si>
    <t>FP-1138</t>
  </si>
  <si>
    <t xml:space="preserve">TRIAL - Philodendron Lupinum </t>
  </si>
  <si>
    <t>FP-1140</t>
  </si>
  <si>
    <t xml:space="preserve">TRIAL - Philodendron Neon </t>
  </si>
  <si>
    <t>FP-1143</t>
  </si>
  <si>
    <t xml:space="preserve">TRIAL - Pilea Hitchcockii </t>
  </si>
  <si>
    <t>FP-1627</t>
  </si>
  <si>
    <t>H 7-9" W 6"</t>
  </si>
  <si>
    <t xml:space="preserve">TRIAL- Pilea Involucrata Norfolk </t>
  </si>
  <si>
    <t>FP-2140</t>
  </si>
  <si>
    <t>H 5-6" W 6"</t>
  </si>
  <si>
    <t>TRIAL- Pilea Mollis</t>
  </si>
  <si>
    <t>FP-2141</t>
  </si>
  <si>
    <t xml:space="preserve">TRIAL - Pilea Spp </t>
  </si>
  <si>
    <t>FP-1624</t>
  </si>
  <si>
    <t>H 8-10" W 4"</t>
  </si>
  <si>
    <t xml:space="preserve">TRIAL - Pilea Spruceana </t>
  </si>
  <si>
    <t>FP-1626</t>
  </si>
  <si>
    <t>TRIAL - Scindapsus NR 14</t>
  </si>
  <si>
    <t>FP-1410</t>
  </si>
  <si>
    <t>H 5" W 6"</t>
  </si>
  <si>
    <t xml:space="preserve">TRIAL - Scindapsus Pictus Exotica </t>
  </si>
  <si>
    <t>FP-1210</t>
  </si>
  <si>
    <t>H 7" W 8"</t>
  </si>
  <si>
    <t xml:space="preserve">TRIAL - Scindapsus Pictus Sterling Silver </t>
  </si>
  <si>
    <t>FP-1211</t>
  </si>
  <si>
    <t>H 7 " W 8"</t>
  </si>
  <si>
    <t xml:space="preserve">TRIAL - Scindapsus Sparkling Borneo </t>
  </si>
  <si>
    <t>FP-1378</t>
  </si>
  <si>
    <t xml:space="preserve">H 6" W 6" </t>
  </si>
  <si>
    <t xml:space="preserve">TRIAL - Scindapsus Treubii Moonlight </t>
  </si>
  <si>
    <t>FP-1372</t>
  </si>
  <si>
    <t xml:space="preserve">TRIAL - Senecio Celphalophorus </t>
  </si>
  <si>
    <t>FP-1258</t>
  </si>
  <si>
    <t>H 5" - 8"  W 6"</t>
  </si>
  <si>
    <t xml:space="preserve">TRIAL - Senecio Macroglossus </t>
  </si>
  <si>
    <t>FP-1356</t>
  </si>
  <si>
    <t>H 7" W 6"</t>
  </si>
  <si>
    <t xml:space="preserve">TRIAL - Syngonium Batik </t>
  </si>
  <si>
    <t>FP-2122</t>
  </si>
  <si>
    <t xml:space="preserve">TRIAL - Syngonium Bronze </t>
  </si>
  <si>
    <t>FP-1337</t>
  </si>
  <si>
    <t xml:space="preserve">TRIAL - Syngonium Green Velvet </t>
  </si>
  <si>
    <t>FP-1120</t>
  </si>
  <si>
    <t xml:space="preserve">TRIAL - Syngonium Little Star </t>
  </si>
  <si>
    <t>FP-1391</t>
  </si>
  <si>
    <t xml:space="preserve">TRIAL - Syngonium Mango Allusion </t>
  </si>
  <si>
    <t>FP-1439</t>
  </si>
  <si>
    <t xml:space="preserve">TRIAL - Syngonium Maya Red </t>
  </si>
  <si>
    <t>FP-1441</t>
  </si>
  <si>
    <t xml:space="preserve">TRIAL - Syngonium New Wendlandii </t>
  </si>
  <si>
    <t>FP-1232</t>
  </si>
  <si>
    <t xml:space="preserve">TRIAL - Syngonium Nguengi laima 200835 </t>
  </si>
  <si>
    <t>FP-1438</t>
  </si>
  <si>
    <t xml:space="preserve">TRIAL - Syngonium Panda </t>
  </si>
  <si>
    <t>FP-1249</t>
  </si>
  <si>
    <t xml:space="preserve">TRIAL - Syngonium Pink Arrow </t>
  </si>
  <si>
    <t>FP-1646</t>
  </si>
  <si>
    <t xml:space="preserve">TRIAL - Syngonium Pick Green </t>
  </si>
  <si>
    <t>FP-1453</t>
  </si>
  <si>
    <t xml:space="preserve">TRIAL - Syngonium Pink Perfection </t>
  </si>
  <si>
    <t>FP-1122</t>
  </si>
  <si>
    <t xml:space="preserve">TRIAL - Syngonium Pink Shade </t>
  </si>
  <si>
    <t>FP-1392</t>
  </si>
  <si>
    <t xml:space="preserve">TRIAL - Syngonium Pink Splash </t>
  </si>
  <si>
    <t>FP-1412</t>
  </si>
  <si>
    <t xml:space="preserve">TRIAL - Syngonium Pink Wink </t>
  </si>
  <si>
    <t>FP-1454</t>
  </si>
  <si>
    <t xml:space="preserve">TRIAL - Syngonium Profar Red </t>
  </si>
  <si>
    <t>FP-1413</t>
  </si>
  <si>
    <t xml:space="preserve">TRIAL - Syngonium Red Spot Tricolor </t>
  </si>
  <si>
    <t>FP-1455</t>
  </si>
  <si>
    <t xml:space="preserve">TRIAL - Syngonium Silver Ash </t>
  </si>
  <si>
    <t>FP-1338</t>
  </si>
  <si>
    <t xml:space="preserve">TRIAL - Syngonium Starlite </t>
  </si>
  <si>
    <t>FP-1393</t>
  </si>
  <si>
    <t xml:space="preserve">TRIAL - Syngonium Infrared </t>
  </si>
  <si>
    <t>FP-1411</t>
  </si>
  <si>
    <t>TRIAL - Tradescantia Albiflora Albovittata Pink Clone</t>
  </si>
  <si>
    <t>TRIAL - Tradescantia Pallida 'Pale Puma'</t>
  </si>
  <si>
    <t>TRIAL - Tradescantia Sillamontana Variegated</t>
  </si>
  <si>
    <t>TRIAL - Tradescantia Silver</t>
  </si>
  <si>
    <t>H 8" - 10" W 5"</t>
  </si>
  <si>
    <t>TRIAL - Tradescantia Sweet Tabby Mini Lilac Sport</t>
  </si>
  <si>
    <t>Boutique</t>
  </si>
  <si>
    <t xml:space="preserve">TRIAL - Aglaonema Bidadari </t>
  </si>
  <si>
    <t>FP-1075</t>
  </si>
  <si>
    <t>Premium</t>
  </si>
  <si>
    <t xml:space="preserve">TRIAL - Aglaonema Crete Fire </t>
  </si>
  <si>
    <t>FP-1076</t>
  </si>
  <si>
    <t xml:space="preserve">TRIAL - Aglaonema Dud </t>
  </si>
  <si>
    <t>FP-1074</t>
  </si>
  <si>
    <t xml:space="preserve">TRIAL - Aglaonema Frozen </t>
  </si>
  <si>
    <t>FP-1083</t>
  </si>
  <si>
    <t xml:space="preserve">TRIAL - Aglaonema Green Lady </t>
  </si>
  <si>
    <t>FP-1080</t>
  </si>
  <si>
    <t xml:space="preserve">TRIAL - Aglaonema Grey Ghost </t>
  </si>
  <si>
    <t>FP-1084</t>
  </si>
  <si>
    <t xml:space="preserve">TRIAL - Aglaonema Jubilee Compacta </t>
  </si>
  <si>
    <t>FP-1072</t>
  </si>
  <si>
    <t xml:space="preserve">TRIAL - Aglaonema Lipstick Pink </t>
  </si>
  <si>
    <t>FP-1079</t>
  </si>
  <si>
    <t xml:space="preserve">TRIAL - Aglaonema Osaka </t>
  </si>
  <si>
    <t>FP-621</t>
  </si>
  <si>
    <t xml:space="preserve">TRIAL - Aglaonema Peacock </t>
  </si>
  <si>
    <t>FP-1264</t>
  </si>
  <si>
    <t xml:space="preserve">TRIAL - Aglaonema Pincut </t>
  </si>
  <si>
    <t>FP-1263</t>
  </si>
  <si>
    <t>FP-1078</t>
  </si>
  <si>
    <t xml:space="preserve">TRIAL - Aglaonema White Lance </t>
  </si>
  <si>
    <t>FP1081</t>
  </si>
  <si>
    <t xml:space="preserve">TRIAL - Alocasia Cuprea Green </t>
  </si>
  <si>
    <t>FP-1414</t>
  </si>
  <si>
    <t xml:space="preserve">TRIAL - Alocasia Cuprea Koch </t>
  </si>
  <si>
    <t>FP-1487</t>
  </si>
  <si>
    <t xml:space="preserve">TRIAL - Alocasia Green Unicorn </t>
  </si>
  <si>
    <t>FP-1591</t>
  </si>
  <si>
    <t>10"-12"</t>
  </si>
  <si>
    <t xml:space="preserve">TRIAL - Alocasia Lukiwan </t>
  </si>
  <si>
    <t>FP-601</t>
  </si>
  <si>
    <t xml:space="preserve">TRIAL - Alocasia Reginae L. Lindenex N.E. Br </t>
  </si>
  <si>
    <t>FP-1488</t>
  </si>
  <si>
    <t xml:space="preserve">TRIAL - Luteocarpa Red Rubin </t>
  </si>
  <si>
    <t>FP-1706</t>
  </si>
  <si>
    <t>H 14" - 18" W 10"</t>
  </si>
  <si>
    <t xml:space="preserve">TRIAL - Anthurium Arrow </t>
  </si>
  <si>
    <t>FP-1675</t>
  </si>
  <si>
    <t xml:space="preserve">TRIAL - Anthurium Big Bill </t>
  </si>
  <si>
    <t>FP-1602</t>
  </si>
  <si>
    <t>10-16"</t>
  </si>
  <si>
    <t xml:space="preserve">TRIAL - Anthurium Bonplandii subs guayanum </t>
  </si>
  <si>
    <t>FP-1603</t>
  </si>
  <si>
    <t>12-16"</t>
  </si>
  <si>
    <t>Collectors</t>
  </si>
  <si>
    <t xml:space="preserve">TRIAL - Anthurium Clarinervium hybrid sulanjana </t>
  </si>
  <si>
    <t>FP-2247</t>
  </si>
  <si>
    <t xml:space="preserve">TRIAL - Anthurium Doryaki Silver </t>
  </si>
  <si>
    <t>FP-1191</t>
  </si>
  <si>
    <t xml:space="preserve">TRIAL - Anthurium Forgettii No. 1 </t>
  </si>
  <si>
    <t>FP-1360</t>
  </si>
  <si>
    <t>9" "</t>
  </si>
  <si>
    <t xml:space="preserve">TRIAL - Anthurium Forgettii No. 2 </t>
  </si>
  <si>
    <t>FP-1417</t>
  </si>
  <si>
    <t xml:space="preserve">TRIAL - Anthurium Hookeri Aurea Variegated </t>
  </si>
  <si>
    <t>FP-2172</t>
  </si>
  <si>
    <t xml:space="preserve">TRIAL - Anthurium Magnificum </t>
  </si>
  <si>
    <t>FP-1192</t>
  </si>
  <si>
    <t xml:space="preserve">TRIAL - Anthurium Veitchii </t>
  </si>
  <si>
    <t>FP-1685</t>
  </si>
  <si>
    <t>H 8-12" W 8"</t>
  </si>
  <si>
    <t xml:space="preserve">TRIAL - Anthurium Villenaorum </t>
  </si>
  <si>
    <t>FP-734</t>
  </si>
  <si>
    <t xml:space="preserve">TRIAL - Anthurium Waroqueanum </t>
  </si>
  <si>
    <t>FP-2032</t>
  </si>
  <si>
    <t xml:space="preserve">TRIAL - Anthurium Clarinervium </t>
  </si>
  <si>
    <t>FP-995</t>
  </si>
  <si>
    <t xml:space="preserve">TRIAL - Anthurium Forgetii </t>
  </si>
  <si>
    <t>FP-955</t>
  </si>
  <si>
    <t>8" - 14"</t>
  </si>
  <si>
    <t xml:space="preserve">TRIAL - Anthurium Futura Superba </t>
  </si>
  <si>
    <t>FP-1240</t>
  </si>
  <si>
    <t xml:space="preserve">TRIAL - Anthurium Hookeri </t>
  </si>
  <si>
    <t>FP-731</t>
  </si>
  <si>
    <t xml:space="preserve">TRIAL - Anthurium Hookeri No 3  </t>
  </si>
  <si>
    <t>FP-997</t>
  </si>
  <si>
    <t xml:space="preserve">TRIAL - Anthurium Hookeri Variegated (Mint) </t>
  </si>
  <si>
    <t>FP-1365</t>
  </si>
  <si>
    <t xml:space="preserve">TRIAL - Anthurium Jenamnii </t>
  </si>
  <si>
    <t>FP-956</t>
  </si>
  <si>
    <t xml:space="preserve">TRIAL - Anthurium Jenmanii Green Lady </t>
  </si>
  <si>
    <t xml:space="preserve">TRIAL - Anthurium Jenmanii Variegated </t>
  </si>
  <si>
    <t xml:space="preserve">TRIAL - Anthurium Magnificum Crystallinum </t>
  </si>
  <si>
    <t>FP-957</t>
  </si>
  <si>
    <t xml:space="preserve">TRIAL - Anthurium Vittariifolium  </t>
  </si>
  <si>
    <t xml:space="preserve">TRIAL - Aphelandra Squarrosa Dania </t>
  </si>
  <si>
    <t>FP-1922</t>
  </si>
  <si>
    <t>H 8" " W 8"</t>
  </si>
  <si>
    <t xml:space="preserve">TRIAL - Aphelandra White Wash </t>
  </si>
  <si>
    <t>FP-2145</t>
  </si>
  <si>
    <t xml:space="preserve">TRIAL - Aphelandra Zebra </t>
  </si>
  <si>
    <t>FP-2169</t>
  </si>
  <si>
    <t xml:space="preserve">TRIAL - Begonia Masoniana Boulder </t>
  </si>
  <si>
    <t>FP-1916</t>
  </si>
  <si>
    <t>TRIAL- Calathea C049</t>
  </si>
  <si>
    <t>FP-2202</t>
  </si>
  <si>
    <t xml:space="preserve">TRIAL - Calathea Fasciata Borusica </t>
  </si>
  <si>
    <t>FP-736</t>
  </si>
  <si>
    <t>FP-2090</t>
  </si>
  <si>
    <t>H 8-12" W 6"</t>
  </si>
  <si>
    <t xml:space="preserve">TRIAL - Calathea Fusion Yellow </t>
  </si>
  <si>
    <t>FP-1367</t>
  </si>
  <si>
    <t>13" - 16"</t>
  </si>
  <si>
    <t>TRIAL- Calathea Gandersii</t>
  </si>
  <si>
    <t>FP-2101</t>
  </si>
  <si>
    <t xml:space="preserve">TRIAL - Calathea Helen Kennedy </t>
  </si>
  <si>
    <t>FP-1066</t>
  </si>
  <si>
    <t xml:space="preserve">TRIAL - Calathea Illustris </t>
  </si>
  <si>
    <t>FP-1118</t>
  </si>
  <si>
    <t>10"-14"</t>
  </si>
  <si>
    <t xml:space="preserve">TRIAL - Calathea Julia </t>
  </si>
  <si>
    <t>FP-1203</t>
  </si>
  <si>
    <t xml:space="preserve">TRIAL - Calathea Louisae Thai Beauty </t>
  </si>
  <si>
    <t>FP-2091</t>
  </si>
  <si>
    <t xml:space="preserve">TRIAL - Calathea Roseopicta </t>
  </si>
  <si>
    <t>10-16H</t>
  </si>
  <si>
    <t xml:space="preserve">TRIAL - Calathea Roseopicta Silvia </t>
  </si>
  <si>
    <t>FP-1570</t>
  </si>
  <si>
    <t xml:space="preserve">TRIAL - Calathea Silver Plate Red Leaf </t>
  </si>
  <si>
    <t>FP-724</t>
  </si>
  <si>
    <t xml:space="preserve">TRIAL - Calathea Veitchiana </t>
  </si>
  <si>
    <t>FP-2208</t>
  </si>
  <si>
    <t xml:space="preserve">TRIAL - Calathea Zebrina </t>
  </si>
  <si>
    <t>FP-117</t>
  </si>
  <si>
    <t xml:space="preserve">TRIAL - Cissus Quadrangularis  </t>
  </si>
  <si>
    <t>FP-2146</t>
  </si>
  <si>
    <t xml:space="preserve">TRIAL - Dieffenbachia White Blizzard </t>
  </si>
  <si>
    <t>FP-2210</t>
  </si>
  <si>
    <t xml:space="preserve">TRIAL - Dracaena Black Kanzi </t>
  </si>
  <si>
    <t>FP-1964</t>
  </si>
  <si>
    <t>TRIAL - Epipremnum Aureum Hot Needle</t>
  </si>
  <si>
    <t>FP-2116</t>
  </si>
  <si>
    <t xml:space="preserve">TRIAL - Epipremnum Champs Elysees </t>
  </si>
  <si>
    <t>FP-2118</t>
  </si>
  <si>
    <t xml:space="preserve">TRIAL - Epipremnum Manjula </t>
  </si>
  <si>
    <t>FP-1130</t>
  </si>
  <si>
    <t xml:space="preserve">TRIAL - Epipremnum Snow Leopard </t>
  </si>
  <si>
    <t>FP-1927</t>
  </si>
  <si>
    <t>H 8" " W 9"</t>
  </si>
  <si>
    <t xml:space="preserve">TRIAL - Episcia Black Velvet </t>
  </si>
  <si>
    <t>FP-2006</t>
  </si>
  <si>
    <t>H 6" - 9" W 8"</t>
  </si>
  <si>
    <t>FP-2000</t>
  </si>
  <si>
    <t>FP-1999</t>
  </si>
  <si>
    <t>FP-2001</t>
  </si>
  <si>
    <t xml:space="preserve">TRIAL - Episcia Picasso </t>
  </si>
  <si>
    <t>FP-2002</t>
  </si>
  <si>
    <t>FP-2003</t>
  </si>
  <si>
    <t>TRIAL - Episcia Pink Panther</t>
  </si>
  <si>
    <t>FP-2063</t>
  </si>
  <si>
    <t>FP-2004</t>
  </si>
  <si>
    <t>FP-2005</t>
  </si>
  <si>
    <t xml:space="preserve">TRIAL - Rumohra Variegata </t>
  </si>
  <si>
    <t>H 9" " W 10"</t>
  </si>
  <si>
    <t>FP-1898</t>
  </si>
  <si>
    <t>H 10" - 16" W 8"</t>
  </si>
  <si>
    <t xml:space="preserve">TRIAL - Asplenium Antiquum Osaka </t>
  </si>
  <si>
    <t>FP-1896</t>
  </si>
  <si>
    <t xml:space="preserve">TRIAL - Fern Asplenium Scolopendrium No 3 </t>
  </si>
  <si>
    <t>FP-999</t>
  </si>
  <si>
    <t>FP-998</t>
  </si>
  <si>
    <t>FP-1899</t>
  </si>
  <si>
    <t>H 10" - 14" W 14"</t>
  </si>
  <si>
    <t xml:space="preserve">TRIAL - Fern Nidus No. 1 </t>
  </si>
  <si>
    <t>FP-1374</t>
  </si>
  <si>
    <t xml:space="preserve">TRIAL - Fern Nidus No. 2 </t>
  </si>
  <si>
    <t>FP-1485</t>
  </si>
  <si>
    <t>FP-1901</t>
  </si>
  <si>
    <t>H 10" - 14" W 10"</t>
  </si>
  <si>
    <t>FP-1902</t>
  </si>
  <si>
    <t>H 8" " W 10"</t>
  </si>
  <si>
    <t>FP-1900</t>
  </si>
  <si>
    <t>H 10" - 14" W 12"</t>
  </si>
  <si>
    <t>FP-1903</t>
  </si>
  <si>
    <t>FP-1905</t>
  </si>
  <si>
    <t>H 9" - 14" W 10"</t>
  </si>
  <si>
    <t>FP-1909</t>
  </si>
  <si>
    <t xml:space="preserve">TRIAL - Pteris Albolineata </t>
  </si>
  <si>
    <t>FP-1907</t>
  </si>
  <si>
    <t xml:space="preserve">TRIAL - Pteris Parkeri </t>
  </si>
  <si>
    <t>FP-1908</t>
  </si>
  <si>
    <t>H 14" - 18" W 12"</t>
  </si>
  <si>
    <t xml:space="preserve">TRIAL - Geogenanthus Ciliatus </t>
  </si>
  <si>
    <t>FP-1552</t>
  </si>
  <si>
    <t>H 7" W 10"</t>
  </si>
  <si>
    <t xml:space="preserve">TRIAL - Homalomena Black </t>
  </si>
  <si>
    <t>FP-1375</t>
  </si>
  <si>
    <t xml:space="preserve">TRIAL - Homalomena Emerald Gem </t>
  </si>
  <si>
    <t>FP-1617</t>
  </si>
  <si>
    <t>10"-13"</t>
  </si>
  <si>
    <t xml:space="preserve">TRIAL - Homalomena Golden </t>
  </si>
  <si>
    <t>FP-1457</t>
  </si>
  <si>
    <t xml:space="preserve">TRIAL - Homalomena Lasia Spinosa </t>
  </si>
  <si>
    <t>FP-1376</t>
  </si>
  <si>
    <t xml:space="preserve">TRIAL - Homalomena Rubescens 200280 </t>
  </si>
  <si>
    <t>FP-1578</t>
  </si>
  <si>
    <t xml:space="preserve">TRIAL - Homalomena Sunshine Gem </t>
  </si>
  <si>
    <t>FP-1920</t>
  </si>
  <si>
    <t>12" - 14"</t>
  </si>
  <si>
    <t xml:space="preserve">TRIAL - Hoya Aff Vittelinea </t>
  </si>
  <si>
    <t>FP-1622</t>
  </si>
  <si>
    <t xml:space="preserve">TRIAL - Hoya AH 074 </t>
  </si>
  <si>
    <t>FP-1692</t>
  </si>
  <si>
    <t xml:space="preserve">TRIAL - Hoya Callistophylla Black Cat </t>
  </si>
  <si>
    <t>FP-1037</t>
  </si>
  <si>
    <t xml:space="preserve">TRIAL - Hoya Carnosa Chelsea </t>
  </si>
  <si>
    <t>FP-1693</t>
  </si>
  <si>
    <t xml:space="preserve">TRIAL - Hoya Cinnamomifolia </t>
  </si>
  <si>
    <t>FP-1564</t>
  </si>
  <si>
    <t xml:space="preserve">TRIAL - Hoya Clemensiorum </t>
  </si>
  <si>
    <t>FP-1464</t>
  </si>
  <si>
    <t xml:space="preserve">TRIAL - Hoya Clemensiorum Splash </t>
  </si>
  <si>
    <t>FP-1620</t>
  </si>
  <si>
    <t xml:space="preserve">TRIAL - Hoya Clemensiorum Sumatra </t>
  </si>
  <si>
    <t>FP-1027</t>
  </si>
  <si>
    <t xml:space="preserve">TRIAL - Hoya Crassiopetiolata </t>
  </si>
  <si>
    <t>FP-1368</t>
  </si>
  <si>
    <t xml:space="preserve">TRIAL - Hoya Crassipetiolata Splash Round Leaf </t>
  </si>
  <si>
    <t>FP-1484</t>
  </si>
  <si>
    <t xml:space="preserve">TRIAL - Hoya cv Larissa </t>
  </si>
  <si>
    <t>FP-1665</t>
  </si>
  <si>
    <t xml:space="preserve">TRIAL - Hoya cv Michelle </t>
  </si>
  <si>
    <t>FP-1666</t>
  </si>
  <si>
    <t xml:space="preserve">TRIAL - Hoya Erythrina </t>
  </si>
  <si>
    <t xml:space="preserve">TRIAL - Hoya Glabra Black Margin </t>
  </si>
  <si>
    <t>FP-1468</t>
  </si>
  <si>
    <t xml:space="preserve">TRIAL - Hoya Glabra Gayo </t>
  </si>
  <si>
    <t>FP-1703</t>
  </si>
  <si>
    <t xml:space="preserve">TRIAL - Hoya Gomas </t>
  </si>
  <si>
    <t>FP-1562</t>
  </si>
  <si>
    <t xml:space="preserve">TRIAL - Hoya Kaikoeana SP Dahlia </t>
  </si>
  <si>
    <t>FP-1469</t>
  </si>
  <si>
    <t xml:space="preserve">TRIAL - Hoya Kaikoena </t>
  </si>
  <si>
    <t>FP-1561</t>
  </si>
  <si>
    <t xml:space="preserve">TRIAL - Hoya Krimson Queen </t>
  </si>
  <si>
    <t>FP-1475</t>
  </si>
  <si>
    <t xml:space="preserve">TRIAL - Hoya Lacunosa Laos </t>
  </si>
  <si>
    <t>FP-1914</t>
  </si>
  <si>
    <t>H 5" - 7" W 7"</t>
  </si>
  <si>
    <t xml:space="preserve">TRIAL - Hoya Macrophylla Groen </t>
  </si>
  <si>
    <t>FP-1466</t>
  </si>
  <si>
    <t xml:space="preserve">TRIAL - Hoya Macrophylla Splash </t>
  </si>
  <si>
    <t>FP-1467</t>
  </si>
  <si>
    <t xml:space="preserve">TRIAL - Hoya Ranauensis Sp </t>
  </si>
  <si>
    <t>FP-1028</t>
  </si>
  <si>
    <t xml:space="preserve">TRIAL - Hoya Red Maroon </t>
  </si>
  <si>
    <t>FP-1495</t>
  </si>
  <si>
    <t xml:space="preserve">TRIAL - Hoya Retusa </t>
  </si>
  <si>
    <t>FP-1444</t>
  </si>
  <si>
    <t xml:space="preserve">TRIAL - Hoya Rindu Raflesia </t>
  </si>
  <si>
    <t>FP-1560</t>
  </si>
  <si>
    <t xml:space="preserve">TRIAL - Hoya Rundumensis Splash </t>
  </si>
  <si>
    <t>FP-1031</t>
  </si>
  <si>
    <t xml:space="preserve">TRIAL - Hoya Scortechinii </t>
  </si>
  <si>
    <t>FP-1471</t>
  </si>
  <si>
    <t xml:space="preserve">TRIAL - Hoya Scortechinii White </t>
  </si>
  <si>
    <t>FP-1621</t>
  </si>
  <si>
    <t>TRIAL - Hoya SP Aceh</t>
  </si>
  <si>
    <t>FP-1029</t>
  </si>
  <si>
    <t xml:space="preserve">TRIAL - Hoya SP Aceh 9 </t>
  </si>
  <si>
    <t>FP-1689</t>
  </si>
  <si>
    <t xml:space="preserve">TRIAL - Hoya SP Gayo 8 </t>
  </si>
  <si>
    <t>FP-1695</t>
  </si>
  <si>
    <t xml:space="preserve">TRIAL - Hoya SP Sulawesi 3 </t>
  </si>
  <si>
    <t>FP-1470</t>
  </si>
  <si>
    <t xml:space="preserve">TRIAL - Hoya SP Timor </t>
  </si>
  <si>
    <t>FP-1472</t>
  </si>
  <si>
    <t xml:space="preserve">TRIAL - Hoya SP Vietnam </t>
  </si>
  <si>
    <t>FP-1480</t>
  </si>
  <si>
    <t xml:space="preserve">TRIAL - Hoya Sulawesiana </t>
  </si>
  <si>
    <t>FP-1559</t>
  </si>
  <si>
    <t xml:space="preserve">TRIAL - Hoya Sumatra Tafel 7 </t>
  </si>
  <si>
    <t>FP-1558</t>
  </si>
  <si>
    <t xml:space="preserve">TRIAL - Hoya Tanggamus </t>
  </si>
  <si>
    <t>FP-1667</t>
  </si>
  <si>
    <t xml:space="preserve">TRIAL - Hoya Tanggamus Small Leaf </t>
  </si>
  <si>
    <t>FP-1473</t>
  </si>
  <si>
    <t xml:space="preserve">TRIAL - Hoya Ternate </t>
  </si>
  <si>
    <t>FP-1557</t>
  </si>
  <si>
    <t xml:space="preserve">TRIAL - Hoya Undulata </t>
  </si>
  <si>
    <t>FP-1030</t>
  </si>
  <si>
    <t xml:space="preserve">TRIAL - Hoya Verticillata sp Lampung </t>
  </si>
  <si>
    <t>FP-1623</t>
  </si>
  <si>
    <t xml:space="preserve">TRIAL - Hoya Verticillata sp Nganjuk </t>
  </si>
  <si>
    <t>FP-1555</t>
  </si>
  <si>
    <t xml:space="preserve">TRIAL - Hoya Vilosa </t>
  </si>
  <si>
    <t>FP-1041</t>
  </si>
  <si>
    <t xml:space="preserve">TRIAL - Hoya Vietnam 2 </t>
  </si>
  <si>
    <t>FP-1690</t>
  </si>
  <si>
    <t xml:space="preserve">TRIAL - Hoya Wayang Splash </t>
  </si>
  <si>
    <t>FP-1554</t>
  </si>
  <si>
    <t xml:space="preserve">TRIAL - Hoya Wayetii Green </t>
  </si>
  <si>
    <t>FP-1479</t>
  </si>
  <si>
    <t xml:space="preserve">TRIAL - Hoya Waymaniae Kapuas </t>
  </si>
  <si>
    <t>FP-1474</t>
  </si>
  <si>
    <t xml:space="preserve">TRIAL - Kaempferia Galanga Variegated </t>
  </si>
  <si>
    <t>FP-2248</t>
  </si>
  <si>
    <t>H 10"-14" W 6</t>
  </si>
  <si>
    <t xml:space="preserve">TRIAL - Labisia Zebra </t>
  </si>
  <si>
    <t>FP-2194</t>
  </si>
  <si>
    <t xml:space="preserve">TRIAL - Mangave Bad Hair Day </t>
  </si>
  <si>
    <t>FP-1447</t>
  </si>
  <si>
    <t xml:space="preserve">TRIAL - Mangave Catch a Wave </t>
  </si>
  <si>
    <t>FP-1448</t>
  </si>
  <si>
    <t>H 9" -12" W 9"</t>
  </si>
  <si>
    <t xml:space="preserve">TRIAL - Mangave Night Owl </t>
  </si>
  <si>
    <t>FP-1449</t>
  </si>
  <si>
    <t xml:space="preserve">TRIAL - Mangave Thunderbird </t>
  </si>
  <si>
    <t>FP-1450</t>
  </si>
  <si>
    <t>H 9" " W 9"</t>
  </si>
  <si>
    <t xml:space="preserve">TRIAL - Mangave Tooth Fairy </t>
  </si>
  <si>
    <t>FP-1451</t>
  </si>
  <si>
    <t>H 7" - 10" W 8"</t>
  </si>
  <si>
    <t xml:space="preserve">TRIAL - Maranta Dark Green </t>
  </si>
  <si>
    <t>FP-1702</t>
  </si>
  <si>
    <t xml:space="preserve">TRIAL - Maranta Fantasy </t>
  </si>
  <si>
    <t>FP-1002</t>
  </si>
  <si>
    <t xml:space="preserve">TRIAL - Maranta Green </t>
  </si>
  <si>
    <t>FP-1402</t>
  </si>
  <si>
    <t xml:space="preserve">TRIAL - Maranta Lemon </t>
  </si>
  <si>
    <t>FP-1001</t>
  </si>
  <si>
    <t xml:space="preserve">TRIAL - Maranta Lemon Lime </t>
  </si>
  <si>
    <t>FP-1572</t>
  </si>
  <si>
    <t xml:space="preserve">TRIAL - Maranta Leuconeura Erythrophylla </t>
  </si>
  <si>
    <t>FP-1745</t>
  </si>
  <si>
    <t xml:space="preserve">TRIAL - Maranta Leuconeura Kerchoveana </t>
  </si>
  <si>
    <t>FP-2173</t>
  </si>
  <si>
    <t xml:space="preserve">TRIAL - Maranta Leuconeura Massangeana </t>
  </si>
  <si>
    <t>FP-2093</t>
  </si>
  <si>
    <t xml:space="preserve">TRIAL - Maranta NOID Cat Mustache </t>
  </si>
  <si>
    <t>FP-2187</t>
  </si>
  <si>
    <t xml:space="preserve">TRIAL - Maranta Red </t>
  </si>
  <si>
    <t>FP-1401</t>
  </si>
  <si>
    <t xml:space="preserve">TRIAL - Monstera Esqueleto </t>
  </si>
  <si>
    <t>FP-1274</t>
  </si>
  <si>
    <t xml:space="preserve">TRIAL - Musa Acuminata Red Ruby </t>
  </si>
  <si>
    <t>FP-1704</t>
  </si>
  <si>
    <t xml:space="preserve">TRIAL - Peperomia Clusifolia </t>
  </si>
  <si>
    <t>FP-1097</t>
  </si>
  <si>
    <t xml:space="preserve">TRIAL - Peperomia Clusifolia Variegated </t>
  </si>
  <si>
    <t>FP-1095</t>
  </si>
  <si>
    <t xml:space="preserve">TRIAL - Peperomia Crème Brulee Orange </t>
  </si>
  <si>
    <t>FP-1917</t>
  </si>
  <si>
    <t xml:space="preserve">TRIAL - Peperomia Raindrop </t>
  </si>
  <si>
    <t>FP-648</t>
  </si>
  <si>
    <t xml:space="preserve">TRIAL - Peperomia Sarcophylla </t>
  </si>
  <si>
    <t>FP-1486</t>
  </si>
  <si>
    <t>13" - 15"</t>
  </si>
  <si>
    <t xml:space="preserve">TRIAL - Philodendron Birkin High Variegation </t>
  </si>
  <si>
    <t>FP-1719</t>
  </si>
  <si>
    <t xml:space="preserve">TRIAL - Philodendron Bronze </t>
  </si>
  <si>
    <t xml:space="preserve">TRIAL - Philodendron Campii </t>
  </si>
  <si>
    <t>FP-2249</t>
  </si>
  <si>
    <t>12"  - 16"</t>
  </si>
  <si>
    <t>Specialty</t>
  </si>
  <si>
    <t xml:space="preserve">TRIAL - Philodendron Caramel Marble </t>
  </si>
  <si>
    <t>FP-744</t>
  </si>
  <si>
    <t xml:space="preserve">TRIAL - Philodendron Cherry Red </t>
  </si>
  <si>
    <t>FP-940</t>
  </si>
  <si>
    <t xml:space="preserve">TRIAL - Philodendron Corovadensis </t>
  </si>
  <si>
    <t>FP-1418</t>
  </si>
  <si>
    <t xml:space="preserve">TRIAL - Philodendron Cream Splash </t>
  </si>
  <si>
    <t>FP-1276</t>
  </si>
  <si>
    <t xml:space="preserve">TRIAL - Philodendron Florida Ghost </t>
  </si>
  <si>
    <t>FP-1117</t>
  </si>
  <si>
    <t xml:space="preserve">TRIAL - Philodendron Gloriosum Variegated </t>
  </si>
  <si>
    <t>FP-2128</t>
  </si>
  <si>
    <t xml:space="preserve">TRIAL - Philodendron Golden Narrow </t>
  </si>
  <si>
    <t>FP-1018</t>
  </si>
  <si>
    <t>12" - 18"</t>
  </si>
  <si>
    <t xml:space="preserve">TRIAL - Philodendron Grote Ox </t>
  </si>
  <si>
    <t>FP-2082</t>
  </si>
  <si>
    <t xml:space="preserve">TRIAL - Philodendron Imperial Red </t>
  </si>
  <si>
    <t>FP-1252</t>
  </si>
  <si>
    <t xml:space="preserve">TRIAL - Philodendron Jungle Fever (reverted) </t>
  </si>
  <si>
    <t>FP-663</t>
  </si>
  <si>
    <t xml:space="preserve">TRIAL - Philodendron Jungle Fever (variegated) </t>
  </si>
  <si>
    <t xml:space="preserve">TRIAL - Philodendron Mars </t>
  </si>
  <si>
    <t>FP-1721</t>
  </si>
  <si>
    <t>11" - 15"</t>
  </si>
  <si>
    <t xml:space="preserve">TRIAL - Philodendron Painted Lady </t>
  </si>
  <si>
    <t>FP-1533</t>
  </si>
  <si>
    <t xml:space="preserve">TRIAL - Philodendron Pink Bikini </t>
  </si>
  <si>
    <t>FP-1204</t>
  </si>
  <si>
    <t xml:space="preserve">TRIAL - Philodendron Red Emerald </t>
  </si>
  <si>
    <t>FP-1250</t>
  </si>
  <si>
    <t xml:space="preserve">TRIAL - Philodendron Rio </t>
  </si>
  <si>
    <t>FP-1321</t>
  </si>
  <si>
    <t>H 6" W 8"</t>
  </si>
  <si>
    <t xml:space="preserve">TRIAL - Philodendron Snowdrift </t>
  </si>
  <si>
    <t>FP-1630</t>
  </si>
  <si>
    <t xml:space="preserve">TRIAL - Piper Bright Eyes </t>
  </si>
  <si>
    <t>FP-1051</t>
  </si>
  <si>
    <t xml:space="preserve">TRIAL - Piper Indonesia Green </t>
  </si>
  <si>
    <t>FP-1053</t>
  </si>
  <si>
    <t xml:space="preserve">TRIAL - Piper Ribesioides </t>
  </si>
  <si>
    <t>FP-1056</t>
  </si>
  <si>
    <t xml:space="preserve">TRIAL - Piper SP Indonesia Silver </t>
  </si>
  <si>
    <t>FP-1052</t>
  </si>
  <si>
    <t xml:space="preserve">TRIAL - Piper SP Kalimantan Watermelon </t>
  </si>
  <si>
    <t>FP-1048</t>
  </si>
  <si>
    <t xml:space="preserve">TRIAL - Piper Sumatra </t>
  </si>
  <si>
    <t>FP-1050</t>
  </si>
  <si>
    <t xml:space="preserve">TRIAL - Rademachera Sinica </t>
  </si>
  <si>
    <t>FP-1542</t>
  </si>
  <si>
    <t xml:space="preserve">TRIAL - Schismatoglottis Calyptrata </t>
  </si>
  <si>
    <t>FP-1483</t>
  </si>
  <si>
    <t xml:space="preserve">TRIAL - Scindapsus Boreno 2 </t>
  </si>
  <si>
    <t>FP-1277</t>
  </si>
  <si>
    <t>FP-1278</t>
  </si>
  <si>
    <t xml:space="preserve">TRIAL - Scindapsus Nangga Seni </t>
  </si>
  <si>
    <t>FP-1279</t>
  </si>
  <si>
    <t xml:space="preserve">TRIAL - Scindapsus Nearly Black </t>
  </si>
  <si>
    <t>FP-1895</t>
  </si>
  <si>
    <t xml:space="preserve">TRIAL - Scindapsus Pictus Argyraeus </t>
  </si>
  <si>
    <t>FP-1125</t>
  </si>
  <si>
    <t>H 8" W 8"</t>
  </si>
  <si>
    <t>FP-354</t>
  </si>
  <si>
    <t>H 8" W 10"</t>
  </si>
  <si>
    <t>FP-1208</t>
  </si>
  <si>
    <t xml:space="preserve">TRIAL - Scindapsus Silver Hero </t>
  </si>
  <si>
    <t>FP-1126</t>
  </si>
  <si>
    <t xml:space="preserve">TRIAL - Scindapsus Silver Lady </t>
  </si>
  <si>
    <t>FP-1088</t>
  </si>
  <si>
    <t xml:space="preserve">TRIAL - Scindapsus Silver Philo </t>
  </si>
  <si>
    <t>FP-1209</t>
  </si>
  <si>
    <t xml:space="preserve">TRIAL - Scindapsus Silver Platinum </t>
  </si>
  <si>
    <t>FP-1283</t>
  </si>
  <si>
    <t xml:space="preserve">TRIAL - Scindapsus Silver Princess </t>
  </si>
  <si>
    <t>FP-992</t>
  </si>
  <si>
    <t xml:space="preserve">TRIAL - Scindapsus Silver Tattoo (NR 27) </t>
  </si>
  <si>
    <t>FP-1280</t>
  </si>
  <si>
    <t xml:space="preserve">TRIAL - Scindapsus Snake Scale </t>
  </si>
  <si>
    <t>FP-1284</t>
  </si>
  <si>
    <t>FP-1085</t>
  </si>
  <si>
    <t xml:space="preserve">TRIAL - Scindapsus Treubii Dark Form </t>
  </si>
  <si>
    <t>FP-1127</t>
  </si>
  <si>
    <t>H 9" W 9"</t>
  </si>
  <si>
    <t xml:space="preserve">TRIAL - Scindapsus Treubii Kalinmantan </t>
  </si>
  <si>
    <t>FP-1285</t>
  </si>
  <si>
    <t>FP-1132</t>
  </si>
  <si>
    <t xml:space="preserve">TRIAL - Scindapsus Tricolor </t>
  </si>
  <si>
    <t>FP-1089</t>
  </si>
  <si>
    <t xml:space="preserve">TRIAL - Scindapsus Tricolor Silver (NR 4) </t>
  </si>
  <si>
    <t>FP-1281</t>
  </si>
  <si>
    <t xml:space="preserve">TRIAL - Scindapsus Walet Sakti </t>
  </si>
  <si>
    <t>FP-1286</t>
  </si>
  <si>
    <t xml:space="preserve">TRIAL - Syngonium Frosted Heart </t>
  </si>
  <si>
    <t>FP-2042</t>
  </si>
  <si>
    <t xml:space="preserve">TRIAL - Syngonium Mottled </t>
  </si>
  <si>
    <t>FP-1529</t>
  </si>
  <si>
    <t>H 10"-16" W 10"</t>
  </si>
  <si>
    <t xml:space="preserve">TRIAL - Syngonium Three Kings </t>
  </si>
  <si>
    <t>FP-855</t>
  </si>
  <si>
    <t>10" - 16" W 10"</t>
  </si>
  <si>
    <t xml:space="preserve">TRIAL - Syngonium White Albo </t>
  </si>
  <si>
    <t>FP-991</t>
  </si>
  <si>
    <t>TRIAL - Tradescantia Chrysophylla Baby Bunny Bellies Variegata</t>
  </si>
  <si>
    <t>FP-2228</t>
  </si>
  <si>
    <t>H 6-8 W 7</t>
  </si>
  <si>
    <t>TRIAL - Tradescantia Mundula Tricolor Varigata</t>
  </si>
  <si>
    <t>FP-2067</t>
  </si>
  <si>
    <t xml:space="preserve">H 7" to 10, W 7" to 11" </t>
  </si>
  <si>
    <t>TRIAL - Tradescantia Pallidia</t>
  </si>
  <si>
    <t>FP-1090</t>
  </si>
  <si>
    <t xml:space="preserve">H 8" to 10, W 5" to 8" </t>
  </si>
  <si>
    <t>TRIAL - Tradescantia Silamontana Varigated</t>
  </si>
  <si>
    <t>FP-2068</t>
  </si>
  <si>
    <t xml:space="preserve">H 7" to 10, W 7" to 10" </t>
  </si>
  <si>
    <t xml:space="preserve">TRIAL - Tradescantia Silver </t>
  </si>
  <si>
    <t>FP1722</t>
  </si>
  <si>
    <t>H 8" to 10, W 8"</t>
  </si>
  <si>
    <t xml:space="preserve">TRIAL - Alocasia Branchifolia </t>
  </si>
  <si>
    <t>FP-1363</t>
  </si>
  <si>
    <t>18" - 21"</t>
  </si>
  <si>
    <t>TRIAL - Alocasia Branchifolia - 17</t>
  </si>
  <si>
    <t xml:space="preserve">TRIAL - Alocasia Frydek Variegated </t>
  </si>
  <si>
    <t>FP-1026</t>
  </si>
  <si>
    <t>TRIAL - Alocasia Frydek Variegated - 17</t>
  </si>
  <si>
    <t xml:space="preserve">TRIAL - Alocasia Gageana Aurea Variegated </t>
  </si>
  <si>
    <t>FP-1638</t>
  </si>
  <si>
    <t>TRIAL - Alocasia Gageana Aurea Variegated - 17</t>
  </si>
  <si>
    <t>FP-607</t>
  </si>
  <si>
    <t>15" - 20"</t>
  </si>
  <si>
    <t>TRIAL - Alocasia Lukiwan - 17</t>
  </si>
  <si>
    <t>TRIAL - Alocasia Macrorrhizos Camouflage Variegata - 17</t>
  </si>
  <si>
    <t xml:space="preserve">TRIAL - Alocasia Nobilis  </t>
  </si>
  <si>
    <t>FP-653</t>
  </si>
  <si>
    <t>18" - 22"</t>
  </si>
  <si>
    <t>TRIAL - Alocasia Odora Variegated Batik - 17</t>
  </si>
  <si>
    <t xml:space="preserve">Boutique </t>
  </si>
  <si>
    <t xml:space="preserve">TRIAL - Alocasia Watsonia  </t>
  </si>
  <si>
    <t>FP-677</t>
  </si>
  <si>
    <t xml:space="preserve">TRIAL - Alocasia Watsonia White </t>
  </si>
  <si>
    <t>FP-598</t>
  </si>
  <si>
    <t>TRIAL - Alocasia Watsonia White - 17</t>
  </si>
  <si>
    <t xml:space="preserve">TRIAL - Alocasia Zebrina LP </t>
  </si>
  <si>
    <t>FP-065</t>
  </si>
  <si>
    <t>21" - 28"</t>
  </si>
  <si>
    <t>TRIAL - Alocasia Zebrina LP - 17</t>
  </si>
  <si>
    <t>TRIAL- Anthurium Clarinervium</t>
  </si>
  <si>
    <t>FP-2243</t>
  </si>
  <si>
    <t>16-20"</t>
  </si>
  <si>
    <t xml:space="preserve">TRIAL - Caladium Lindenii </t>
  </si>
  <si>
    <t>FP-1546</t>
  </si>
  <si>
    <t>TRIAL - Caladium Lindenii - 17</t>
  </si>
  <si>
    <t>18-24"</t>
  </si>
  <si>
    <t>TRIAL - Calathea Illustris - 17</t>
  </si>
  <si>
    <t xml:space="preserve">TRIAL - Calathea Peacock </t>
  </si>
  <si>
    <t>FP-1197</t>
  </si>
  <si>
    <t>TRIAL - Calathea Peacock - 17</t>
  </si>
  <si>
    <t xml:space="preserve">TRIAL - Calathea Picturata </t>
  </si>
  <si>
    <t>FP-709</t>
  </si>
  <si>
    <t xml:space="preserve">TRIAL - Calathea Royal Standard </t>
  </si>
  <si>
    <t>FP-1217</t>
  </si>
  <si>
    <t>TRIAL - Calathea Royal Standard - 17</t>
  </si>
  <si>
    <t xml:space="preserve">TRIAL - Dieffenbachia Marsha </t>
  </si>
  <si>
    <t>FP-1655</t>
  </si>
  <si>
    <t>TRIAL - Dieffenbachia Marsha - 17</t>
  </si>
  <si>
    <t xml:space="preserve">TRIAL - Dieffenbachia Snow </t>
  </si>
  <si>
    <t>FP-1316</t>
  </si>
  <si>
    <t>TRIAL - Dieffenbachia Snow - 17</t>
  </si>
  <si>
    <t xml:space="preserve">TRIAL - Dieffenbachia Sublime </t>
  </si>
  <si>
    <t>FP-1317</t>
  </si>
  <si>
    <t>TRIAL - Dieffenbachia Sublime - 17</t>
  </si>
  <si>
    <t xml:space="preserve">TRIAL - Dieffenbachia Tiki </t>
  </si>
  <si>
    <t>FP-1318</t>
  </si>
  <si>
    <t>TRIAL - Dieffenbachia Tiki - 17</t>
  </si>
  <si>
    <t xml:space="preserve">TRIAL - Ficus Aspera </t>
  </si>
  <si>
    <t>FP-1594</t>
  </si>
  <si>
    <t>TRIAL - Ficus Aspera - 17</t>
  </si>
  <si>
    <t>FP-252</t>
  </si>
  <si>
    <t>14" - 20"</t>
  </si>
  <si>
    <t>TRIAL - Homalomena Emerald Gem - 17</t>
  </si>
  <si>
    <t xml:space="preserve">TRIAL - Homalomena Emerald Green </t>
  </si>
  <si>
    <t>FP-1460</t>
  </si>
  <si>
    <t>TRIAL - Homalomena Emerald Green - 17</t>
  </si>
  <si>
    <t xml:space="preserve">TRIAL - Homalomena Lindenii </t>
  </si>
  <si>
    <t>FP-1181</t>
  </si>
  <si>
    <t>TRIAL - Homalomena Lindenii - 17</t>
  </si>
  <si>
    <t xml:space="preserve">TRIAL - Homalomena Mint Variegated </t>
  </si>
  <si>
    <t>FP-1461</t>
  </si>
  <si>
    <t>TRIAL - Homalomena Mint Variegated - 17</t>
  </si>
  <si>
    <t xml:space="preserve">TRIAL - Homalomena Rubesence Red </t>
  </si>
  <si>
    <t>FP-1068</t>
  </si>
  <si>
    <t>TRIAL - Homalomena Rubesence Red - 17</t>
  </si>
  <si>
    <t>FP-253</t>
  </si>
  <si>
    <t>TRIAL - Homalomena Sunshine Gem - 17</t>
  </si>
  <si>
    <t xml:space="preserve">TRIAL - Homalomena Tropical Green  </t>
  </si>
  <si>
    <t>FP-1245</t>
  </si>
  <si>
    <t xml:space="preserve">TRIAL - Homalomena Variegated </t>
  </si>
  <si>
    <t>FP-1462</t>
  </si>
  <si>
    <t>TRIAL - Homalomena Variegated - 17</t>
  </si>
  <si>
    <t xml:space="preserve">TRIAL - Homalomena Wallisii Emerald Gem </t>
  </si>
  <si>
    <t xml:space="preserve">14" - 20" </t>
  </si>
  <si>
    <t>TRIAL - Homalomena Wallisii Emerald Gem - 17</t>
  </si>
  <si>
    <t>TRIAL - Monstera Burle Marx's Flame - 17</t>
  </si>
  <si>
    <t xml:space="preserve">TRIAL - Monstera deliciosa Aurea </t>
  </si>
  <si>
    <t>FP-1019</t>
  </si>
  <si>
    <t>TRIAL - Monstera deliciosa Aurea - 17</t>
  </si>
  <si>
    <t xml:space="preserve">TRIAL - Monstera Deliciosa Tauerii </t>
  </si>
  <si>
    <t>FP-1253</t>
  </si>
  <si>
    <t>TRIAL - Monstera Deliciosa Tauerii - 17</t>
  </si>
  <si>
    <t>FP-1661</t>
  </si>
  <si>
    <t>TRIAL - Monstera Mint Variegated - 17</t>
  </si>
  <si>
    <t xml:space="preserve">TRIAL - Monstera Monisha® </t>
  </si>
  <si>
    <t>FP-1869</t>
  </si>
  <si>
    <t>TRIAL - Monstera Monisha® - 17</t>
  </si>
  <si>
    <t xml:space="preserve">TRIAL - Monstera Monisha® (w/ Kratiste pole) </t>
  </si>
  <si>
    <t>TRIAL - Monstera Monisha® (w/ Kratiste pole) - 17</t>
  </si>
  <si>
    <t xml:space="preserve">TRIAL - Monstera Siltepecana on moss pole </t>
  </si>
  <si>
    <t>FP-264</t>
  </si>
  <si>
    <t>$49.99 - $54.99</t>
  </si>
  <si>
    <t>TRIAL - Monstera Siltepecana on moss pole - 17</t>
  </si>
  <si>
    <t xml:space="preserve">TRIAL - Musa Acuminata Dwarf King </t>
  </si>
  <si>
    <t>FP-1697</t>
  </si>
  <si>
    <t>18" - 26"</t>
  </si>
  <si>
    <t>TRIAL - Musa Acuminata Dwarf King - 17</t>
  </si>
  <si>
    <t>FP-2096</t>
  </si>
  <si>
    <t>TRIAL - Musa Acuminata Red Ruby - 17</t>
  </si>
  <si>
    <t xml:space="preserve">TRIAL - Philodendron Angela </t>
  </si>
  <si>
    <t>FP-1364</t>
  </si>
  <si>
    <t>TRIAL - Philodendron Angela - 17</t>
  </si>
  <si>
    <t xml:space="preserve">TRIAL - Philodendron Asperatum </t>
  </si>
  <si>
    <t>FP-1387</t>
  </si>
  <si>
    <t>TRIAL - Philodendron Asperatum - 17</t>
  </si>
  <si>
    <t xml:space="preserve">TRIAL - Philodendron Bipennifolium x Pedatum </t>
  </si>
  <si>
    <t>FP-1419</t>
  </si>
  <si>
    <t>TRIAL - Philodendron Bipennifolium x Pedatum - 17</t>
  </si>
  <si>
    <t xml:space="preserve">TRIAL - Philodendron Brandtianum on Climb-itt™ pole (narrow 26") </t>
  </si>
  <si>
    <t>FP-280</t>
  </si>
  <si>
    <t>19" - 26"</t>
  </si>
  <si>
    <t>TRIAL - Philodendron Brandtianum on Climb-itt™ pole (narrow 26") - 17</t>
  </si>
  <si>
    <t xml:space="preserve">TRIAL - Philodendron Brazil on Climb-itt™ pole (wide 26") </t>
  </si>
  <si>
    <t>FP-1353</t>
  </si>
  <si>
    <t>TRIAL - Philodendron Brazil on Climb-itt™ pole (wide 26") - 17</t>
  </si>
  <si>
    <t xml:space="preserve">TRIAL - Philodendron Brazil on moss pole </t>
  </si>
  <si>
    <t>TRIAL - Philodendron Brazil on moss pole - 17</t>
  </si>
  <si>
    <t xml:space="preserve">TRIAL - Philodendron Burle Marx </t>
  </si>
  <si>
    <t>FP-888</t>
  </si>
  <si>
    <t>TRIAL - Philodendron Burle Marx - 17</t>
  </si>
  <si>
    <t xml:space="preserve">TRIAL - Philodendron Burle Marx Green </t>
  </si>
  <si>
    <t>13" - 21"</t>
  </si>
  <si>
    <t>TRIAL - Philodendron Burle Marx Green - 17</t>
  </si>
  <si>
    <t xml:space="preserve">TRIAL - Philodendron Burle Marx Reversion </t>
  </si>
  <si>
    <t>FP-1380</t>
  </si>
  <si>
    <t>TRIAL - Philodendron Burle Marx Reversion - 17</t>
  </si>
  <si>
    <t>FP-1544</t>
  </si>
  <si>
    <t>TRIAL - Philodendron Campii - 17</t>
  </si>
  <si>
    <t xml:space="preserve">TRIAL - Philodendron Camposportoanum on moss pole </t>
  </si>
  <si>
    <t>FP-1336</t>
  </si>
  <si>
    <t>TRIAL - Philodendron Camposportoanum on moss pole - 17</t>
  </si>
  <si>
    <t>FP-889</t>
  </si>
  <si>
    <t xml:space="preserve">H 11" - 16" </t>
  </si>
  <si>
    <t>TRIAL - Philodendron Caramel Marble - 17</t>
  </si>
  <si>
    <t xml:space="preserve">TRIAL - Philodendron Colombia </t>
  </si>
  <si>
    <t>FP-1163</t>
  </si>
  <si>
    <t>TRIAL - Philodendron Colombia - 17</t>
  </si>
  <si>
    <t xml:space="preserve">TRIAL - Philodendron Corccovadensis  </t>
  </si>
  <si>
    <t>FP-544</t>
  </si>
  <si>
    <t xml:space="preserve">TRIAL - Philodendron Cream Splash on Climb-itt™ pole (narrow 18") </t>
  </si>
  <si>
    <t>FP-1492</t>
  </si>
  <si>
    <t>TRIAL - Philodendron Cream Splash on Climb-itt™ pole (narrow 18") - 17</t>
  </si>
  <si>
    <t xml:space="preserve">TRIAL - Philodendron Cream Splash on Climb-itt™ pole (wide 26") </t>
  </si>
  <si>
    <t>TRIAL - Philodendron Cream Splash on Climb-itt™ pole (wide 26") - 17</t>
  </si>
  <si>
    <t>TRIAL - Philodendron Distantilobum</t>
  </si>
  <si>
    <t>FP-1162</t>
  </si>
  <si>
    <t xml:space="preserve">TRIAL - Philodendron Elegans on Moss Pole </t>
  </si>
  <si>
    <t>FP-946</t>
  </si>
  <si>
    <t>18" - 20"</t>
  </si>
  <si>
    <t>TRIAL - Philodendron Elegans on Moss Pole - 17</t>
  </si>
  <si>
    <t xml:space="preserve">TRIAL - Philodendron Enscubens No 1 </t>
  </si>
  <si>
    <t>FP-538</t>
  </si>
  <si>
    <t>TRIAL - Philodendron Enscubens No 1 - 17</t>
  </si>
  <si>
    <t xml:space="preserve">TRIAL - Philodendron Fibrecataphyllum on moss pole </t>
  </si>
  <si>
    <t>FP-1350</t>
  </si>
  <si>
    <t xml:space="preserve">TRIAL - Philodendron Florida Beauty </t>
  </si>
  <si>
    <t>FP-1359</t>
  </si>
  <si>
    <t>TRIAL - Philodendron Florida Beauty - 17</t>
  </si>
  <si>
    <t xml:space="preserve">TRIAL - Philodendron Florida Bronze </t>
  </si>
  <si>
    <t>FP-1872</t>
  </si>
  <si>
    <t>TRIAL - Philodendron Florida Bronze - 17</t>
  </si>
  <si>
    <t xml:space="preserve">TRIAL - Philodendron Giganteum Blizzard </t>
  </si>
  <si>
    <t>FP-947</t>
  </si>
  <si>
    <t>TRIAL - Philodendron Giganteum Blizzard - 17</t>
  </si>
  <si>
    <t>FP-1664</t>
  </si>
  <si>
    <t>TRIAL - Philodendron Gloriosum Variegated - 17</t>
  </si>
  <si>
    <t xml:space="preserve">TRIAL - Philodendron Glorius on moss pole  </t>
  </si>
  <si>
    <t>FP-745</t>
  </si>
  <si>
    <t>TRIAL - Philodendron Goeldii</t>
  </si>
  <si>
    <t>21"-25"</t>
  </si>
  <si>
    <t>TRIAL - Philodendron Goeldii-17</t>
  </si>
  <si>
    <t xml:space="preserve">TRIAL - Philodendron Grandipes </t>
  </si>
  <si>
    <t>FP-1420</t>
  </si>
  <si>
    <t>TRIAL - Philodendron Grandipes - 17</t>
  </si>
  <si>
    <t xml:space="preserve">TRIAL - Philodendron Grazilae on moss pole </t>
  </si>
  <si>
    <t>FP-1355</t>
  </si>
  <si>
    <t>TRIAL - Philodendron Grazilae on moss pole - 17</t>
  </si>
  <si>
    <t xml:space="preserve">TRIAL - Philodendron Green Wonder </t>
  </si>
  <si>
    <t>FP-1524</t>
  </si>
  <si>
    <t>TRIAL - Philodendron Green Wonder - 17</t>
  </si>
  <si>
    <t xml:space="preserve">TRIAL - Philodendron Holtanianum on moss pole </t>
  </si>
  <si>
    <t>FP-810</t>
  </si>
  <si>
    <t>TRIAL - Philodendron Holtanianum on moss pole - 17</t>
  </si>
  <si>
    <t xml:space="preserve">TRIAL - Philodendron Hybrid Cherry Red </t>
  </si>
  <si>
    <t>FP-1405</t>
  </si>
  <si>
    <t>TRIAL - Philodendron Hybrid Cherry Red - 17</t>
  </si>
  <si>
    <t>TRIAL - Philodendron Imbo Variegata</t>
  </si>
  <si>
    <t>FP-12226</t>
  </si>
  <si>
    <t>FP-895</t>
  </si>
  <si>
    <t>TRIAL - Philodendron Imperial Red - 17</t>
  </si>
  <si>
    <t xml:space="preserve">TRIAL - Philodendron Jose Buono </t>
  </si>
  <si>
    <t>FP-1067</t>
  </si>
  <si>
    <t>TRIAL - Philodendron Jose Buono - 17</t>
  </si>
  <si>
    <t xml:space="preserve">TRIAL - Philodendron Jungle Fever (reverted)  </t>
  </si>
  <si>
    <t>FP-547</t>
  </si>
  <si>
    <t xml:space="preserve">TRIAL - Philodendron Linnaei </t>
  </si>
  <si>
    <t>FP-1421</t>
  </si>
  <si>
    <t>TRIAL - Philodendron Linnaei - 17</t>
  </si>
  <si>
    <t xml:space="preserve">TRIAL - Philodendron Lupinum on moss pole </t>
  </si>
  <si>
    <t>FP-1351</t>
  </si>
  <si>
    <t>TRIAL - Philodendron Lupinum on moss pole - 17</t>
  </si>
  <si>
    <t xml:space="preserve">TRIAL - Philodendron Melanochrysum on moss pole </t>
  </si>
  <si>
    <t>FP-716</t>
  </si>
  <si>
    <t>TRIAL - Philodendron Melanochrysum on moss pole - 17</t>
  </si>
  <si>
    <t xml:space="preserve">TRIAL - Philodendron Neon on moss pole </t>
  </si>
  <si>
    <t>FP-1352</t>
  </si>
  <si>
    <t>TRIAL - Philodendron Neon on moss pole - 17</t>
  </si>
  <si>
    <t>FP-319</t>
  </si>
  <si>
    <t>TRIAL - Philodendron Painted Lady - 17</t>
  </si>
  <si>
    <t xml:space="preserve">TRIAL - Philodendron Paraiso Reverse </t>
  </si>
  <si>
    <t>FP-1020</t>
  </si>
  <si>
    <t>TRIAL - Philodendron Paraiso Reverse - 17</t>
  </si>
  <si>
    <t xml:space="preserve">TRIAL - Philodendron Paraiso Verde </t>
  </si>
  <si>
    <t>FP-1339</t>
  </si>
  <si>
    <t>H 16" - 20" W 12"</t>
  </si>
  <si>
    <t>TRIAL - Philodendron Paraiso Verde - 17</t>
  </si>
  <si>
    <t xml:space="preserve">TRIAL - Philodendron Pedulatum  </t>
  </si>
  <si>
    <t>FP-672</t>
  </si>
  <si>
    <t xml:space="preserve">TRIAL - Philodendron Querciformis </t>
  </si>
  <si>
    <t>FP-1334</t>
  </si>
  <si>
    <t>TRIAL - Philodendron Querciformis - 17</t>
  </si>
  <si>
    <t xml:space="preserve">TRIAL - Philodendron Rio on Climb-itt™ pole (narrow 18") </t>
  </si>
  <si>
    <t>FP-2066</t>
  </si>
  <si>
    <t>TRIAL - Philodendron Rio on Climb-itt™ pole (narrow 18") - 17</t>
  </si>
  <si>
    <t xml:space="preserve">TRIAL - Philodendron Rio on Climb-itt™ pole (narrow 26") </t>
  </si>
  <si>
    <t>TRIAL - Philodendron Rio on Climb-itt™ pole (narrow 26") - 17</t>
  </si>
  <si>
    <t xml:space="preserve">TRIAL - Philodendron Rudolph </t>
  </si>
  <si>
    <t>FP-1525</t>
  </si>
  <si>
    <t>14-18"</t>
  </si>
  <si>
    <t>TRIAL - Philodendron Rudolph - 17</t>
  </si>
  <si>
    <t xml:space="preserve">TRIAL - Philodendron Rugapetiotalem </t>
  </si>
  <si>
    <t>FP-1244</t>
  </si>
  <si>
    <t>12" - 20"</t>
  </si>
  <si>
    <t>TRIAL - Philodendron Rugapetiotalem - 17</t>
  </si>
  <si>
    <t xml:space="preserve">TRIAL - Philodendron Rugosum  </t>
  </si>
  <si>
    <t xml:space="preserve">TRIAL - Philodendron Rugosum Aberant </t>
  </si>
  <si>
    <t>FP-1196</t>
  </si>
  <si>
    <t>TRIAL - Philodendron Rugosum Aberant - 17</t>
  </si>
  <si>
    <t xml:space="preserve">TRIAL - Philodendron Squamicaule </t>
  </si>
  <si>
    <t>FP-1422</t>
  </si>
  <si>
    <t>TRIAL - Philodendron Squamicaule - 17</t>
  </si>
  <si>
    <t xml:space="preserve">TRIAL - Philodendron Subhastatum </t>
  </si>
  <si>
    <t>FP-546</t>
  </si>
  <si>
    <t>TRIAL - Philodendron Subhastatum - 17</t>
  </si>
  <si>
    <t xml:space="preserve">TRIAL - Philodendron Verrucosum on moss pole   </t>
  </si>
  <si>
    <t>FP-548</t>
  </si>
  <si>
    <t xml:space="preserve">TRIAL - Philodendron Verrucosum on moss pole  - 17 </t>
  </si>
  <si>
    <t xml:space="preserve">TRIAL - Philodendron Warscewiczii Green </t>
  </si>
  <si>
    <t>FP-1404</t>
  </si>
  <si>
    <t>TRIAL - Philodendron Warscewiczii Green - 17</t>
  </si>
  <si>
    <t xml:space="preserve">TRIAL - Schismatoglottis Batem </t>
  </si>
  <si>
    <t>FP-2088</t>
  </si>
  <si>
    <t>H 14" - 20" W 12"</t>
  </si>
  <si>
    <t>TRIAL - Schismatoglottis Batem - 17</t>
  </si>
  <si>
    <t>FP-1482</t>
  </si>
  <si>
    <t>TRIAL - Schismatoglottis Calyptrata - 17</t>
  </si>
  <si>
    <t>FP-945</t>
  </si>
  <si>
    <t>H 10" W 12"</t>
  </si>
  <si>
    <t>TRIAL - Scindapsus Nearly Black - 17</t>
  </si>
  <si>
    <t xml:space="preserve">TRIAL - Xanthosoma Jungle Bush </t>
  </si>
  <si>
    <t>FP-1463</t>
  </si>
  <si>
    <t>TRIAL - Xanthosoma Jungle Bush - 17</t>
  </si>
  <si>
    <t xml:space="preserve">TRIAL - Xanthosoma Lindenii </t>
  </si>
  <si>
    <t>FP-2139</t>
  </si>
  <si>
    <t>TRIAL - Xanthosoma Lindenii - 17</t>
  </si>
  <si>
    <t xml:space="preserve">TRIAL - Yucca Elephantipes Silver </t>
  </si>
  <si>
    <t>FP-1992</t>
  </si>
  <si>
    <t xml:space="preserve">16" - 20" </t>
  </si>
  <si>
    <t>Buyers Choice Sub Total:</t>
  </si>
  <si>
    <t>Buyers Choice 10% Convenience Fee:</t>
  </si>
  <si>
    <t>Configure Your Shipping Charge</t>
  </si>
  <si>
    <t>*UPC Labels can ONLY be added to BUYERS CHOICE ORDERS for $.25 each.</t>
  </si>
  <si>
    <t>*Payment terms are NET 30, we do have ACH available, and we accept credit card payments with a processing fee of 5%</t>
  </si>
  <si>
    <t xml:space="preserve">*Orders must be submitted by 10am on the Wednesday following this Availability Document release in order to receive the order for the following week. </t>
  </si>
  <si>
    <t>TRIAL- Carnosa Stardust</t>
  </si>
  <si>
    <t>TRIAL- Lacunosa Snow leopard</t>
  </si>
  <si>
    <t xml:space="preserve">TRIAL- Lacunosa sp Bruno </t>
  </si>
  <si>
    <t>TRIAL- Hoya sp Garut</t>
  </si>
  <si>
    <t>TRIAL- Hoya Serpens</t>
  </si>
  <si>
    <t>TRIAL- Hoya Red Maroon</t>
  </si>
  <si>
    <t>TRIAL- Peperomia Caperata Frost</t>
  </si>
  <si>
    <t>TRIAL- Sansevieria Trifasciata Gold Flame</t>
  </si>
  <si>
    <t>TRIAL- Peperomia Rosso</t>
  </si>
  <si>
    <t>TRIAL- Peperomia Piccolo Banda</t>
  </si>
  <si>
    <t>TRIAL- Dieffenbachia Americano</t>
  </si>
  <si>
    <t>TRIAL- Dieffenbachia Sublime</t>
  </si>
  <si>
    <t>TRIAL- Dwarf Amazonica</t>
  </si>
  <si>
    <t>TRIAL- Ficus Petiolaris</t>
  </si>
  <si>
    <t>TRIAL- Lyrata Bambino</t>
  </si>
  <si>
    <t>TRIAL - Yucca Elephantipes Argenta Blaze</t>
  </si>
  <si>
    <t>TRIAL- Fittonia Jade</t>
  </si>
  <si>
    <t>TRIAL- Fittonia Forest Flame</t>
  </si>
  <si>
    <t>TRIAL- Hoya Nabawensis Splash</t>
  </si>
  <si>
    <t>TRIAL - Aglaonema Night Sparkle</t>
  </si>
  <si>
    <t>TRIAL - Aglaonema Red Valentine</t>
  </si>
  <si>
    <t>TRIAL - Alocasia Little Zebrina</t>
  </si>
  <si>
    <t>TRIAL- Alocasia Little Zebrina</t>
  </si>
  <si>
    <t>TRIAL- Dieffenbachia Camilla</t>
  </si>
  <si>
    <t>TRIAL-Homalomena KT Green-17</t>
  </si>
  <si>
    <t>12cm Boutique</t>
  </si>
  <si>
    <t>Special Pricing</t>
  </si>
  <si>
    <t>Hoya Blushing Sunset™ (wibergiae) on Climb-itt™ Tripod</t>
  </si>
  <si>
    <t>Hoya Reef Rider™ (Latifolia Albomarginata) on Climb-itt™ Tripod</t>
  </si>
  <si>
    <t>Hoya Sabah on Climb-itt™ Tripod</t>
  </si>
  <si>
    <t>Hoya Night Sparrow™ (Clemensiorum Dark Leaf) on Climb-itt™ Tripod</t>
  </si>
  <si>
    <t>Hoya Shadow Falls™ (Callistophylla KAL 16) on Climb-itt™ Tripod</t>
  </si>
  <si>
    <t>TRIAL- Alocasia Nebula</t>
  </si>
  <si>
    <t xml:space="preserve"> Disclaimer: If you do not select LGS but require it; FedEx will bill you directly for the service.Please note: FedEx applies a Residential Delivery Charge to shipments delivered to a home or private residence. This fee is assessed by FedEx and will be added to the total shipping cost. 
</t>
  </si>
  <si>
    <t xml:space="preserve">Is the Address Residential?  </t>
  </si>
  <si>
    <t xml:space="preserve">Epipremnum Golden Glen™ </t>
  </si>
  <si>
    <t>Epipremnum Green Isle™</t>
  </si>
  <si>
    <t>Philodendron Electric Eel™ (joepii) on Climb-itt™ pole - 17</t>
  </si>
  <si>
    <t xml:space="preserve">Philodendron Electric Eel™ (joepii) on Climb-itt™ pole </t>
  </si>
  <si>
    <t>TRIAL- Philodendron Red Anderson</t>
  </si>
  <si>
    <t>TRIAL- Chlorphytum COB</t>
  </si>
  <si>
    <t>TRIAL- Cyrtosperma Johnstonii Black Jack</t>
  </si>
  <si>
    <t>TRIAL- Episcia Pink Smoke</t>
  </si>
  <si>
    <t>TRIAL- Saxifraga Tricolor- 12</t>
  </si>
  <si>
    <t>TRIAL- Saxifraga Tricolor</t>
  </si>
  <si>
    <t>Company:</t>
  </si>
  <si>
    <t xml:space="preserve"> Disclaimer: If you do not select LGS but require it; FedEx will bill you directly for the service. FedEx applies a Residential Delivery Charge to shipments delivered to a home or private residence. This fee is assessed by FedEx and will be added to the total shipping cost. 
</t>
  </si>
  <si>
    <t xml:space="preserve"> Pick up Order</t>
  </si>
  <si>
    <t>* Pick-up orders are subject to the same quantity requirements as shipping orders to ensure uniformity in fulfillment.</t>
  </si>
  <si>
    <t>* Pick- Ups are scheduled on Monday and Tuesday's between 1-4pm EST unless approved.</t>
  </si>
  <si>
    <t>Tradescnatia Feeling Sweet™ (Tenderness) - 9</t>
  </si>
  <si>
    <t>Alocasia Blackout™ (Zebrina Black) - 17</t>
  </si>
  <si>
    <t>Alocasia Cucullata - 17</t>
  </si>
  <si>
    <t>Alocasia Dragon Scale - 17</t>
  </si>
  <si>
    <t>Alocasia Frydek - 17</t>
  </si>
  <si>
    <t>Alocasia Jungle Cat™ (Tigrina Superba) - 17</t>
  </si>
  <si>
    <t>Alocasia Jungle Music™ (Siberian Tiger) - 17</t>
  </si>
  <si>
    <t>Alocasia Lauterbachiana - 17</t>
  </si>
  <si>
    <t>Alocasia Longiloba - 17</t>
  </si>
  <si>
    <t>Alocasia Zebrina - 17</t>
  </si>
  <si>
    <t>Anthurium Michelle™ - 17</t>
  </si>
  <si>
    <t>Anthurium (Michelle™ x DocBlock Zara™) '28' x DocBlock Zara™ '52' - 17</t>
  </si>
  <si>
    <t>Anthurium Brown Derby™ '29' x (Michelle™ x DocBlock Zara™) '28' - 17</t>
  </si>
  <si>
    <t xml:space="preserve"> Anthurium Brown Derby™ '39' x DocBlock Purple Rain™ '27' - 17</t>
  </si>
  <si>
    <t>Anthurium Crystallinum '8' x DocBlock Crystal Red™ '12' - 17</t>
  </si>
  <si>
    <t>Anthurium DocBlock Crystal Red '12' x DocBlock Zara™ '3' - 17</t>
  </si>
  <si>
    <t>Anthurium Michelle™ '10' x Brown Derby™ '29' - 17</t>
  </si>
  <si>
    <t>Apoballis Opulence™ (Red Sword) - 17</t>
  </si>
  <si>
    <t>Calathea Lancelot™ (Wave Star) - 17</t>
  </si>
  <si>
    <t>Calathea Like a Prayer™ (Marion) - 17</t>
  </si>
  <si>
    <t>Calathea Medallion - 17</t>
  </si>
  <si>
    <t>Calathea Orbifolia - 17</t>
  </si>
  <si>
    <t>Calathea Ornata Sanderiana - 17</t>
  </si>
  <si>
    <t>Calathea Thoreau™ (Misto) - 17</t>
  </si>
  <si>
    <t>Calathea Xena™  (Tropistar) - 17</t>
  </si>
  <si>
    <t>Ctenanthe Neverland™ (Golden Mosaic) - 17</t>
  </si>
  <si>
    <t>Ctenanthe Setosa Exotica - 17</t>
  </si>
  <si>
    <t>Ctenanthe Setosa Grey Star - 17</t>
  </si>
  <si>
    <t>Dieffenbachia Ocelot™ (Cheetah) - 17</t>
  </si>
  <si>
    <t>Dieffenbachia Tasmanian Tiger™ (Maroba) - 17</t>
  </si>
  <si>
    <t>Fern Asplenium Victoria (Japanese Bird's Nest Fern) - 17</t>
  </si>
  <si>
    <t>Fern Phlebodium Davana - 17</t>
  </si>
  <si>
    <t>Fern Platycerium Sword Dance™ (Staghorn) - 17</t>
  </si>
  <si>
    <t>Ficus Celebrate™ (Smile) - 17</t>
  </si>
  <si>
    <t>Ficus Cyathistipula - 17</t>
  </si>
  <si>
    <t>Ficus Happiness™ (Joy) - 17</t>
  </si>
  <si>
    <t>Ficus Mini Zen™ (Cyathistipula Mini) - 17</t>
  </si>
  <si>
    <t>Ficus Umbellata - 17</t>
  </si>
  <si>
    <t>Ficus benjamina Anastasia - 17</t>
  </si>
  <si>
    <t>Ficus benjamina Danielle - 17</t>
  </si>
  <si>
    <t>Ficus benjamina Over the Edge™ (Samantha) - 17</t>
  </si>
  <si>
    <t>Ficus elastica Abidjan - 17</t>
  </si>
  <si>
    <t>Ficus elastica Belize - 17</t>
  </si>
  <si>
    <t>Ficus elastica Robusta - 17</t>
  </si>
  <si>
    <t>Ficus elastica Tineke - 17</t>
  </si>
  <si>
    <t>Homalomena Sea Turtle™ (Maggy) - 17</t>
  </si>
  <si>
    <t>Homalomena Uplift™ (Camouflage) - 17</t>
  </si>
  <si>
    <t>Monstera Deliciosa - 17</t>
  </si>
  <si>
    <t>Monstera Spotsylvania™ (Thai Constellation) - 17</t>
  </si>
  <si>
    <t>Philodendron Atabapoense - 17</t>
  </si>
  <si>
    <t>Philodendron Birkin - 17</t>
  </si>
  <si>
    <t>Philodendron Bronze - 17</t>
  </si>
  <si>
    <t>Philodendron Double-edged Sword™ (Golden Ring of Fire/Rambo) - 17</t>
  </si>
  <si>
    <t>Philodendron Electric Eel™ (Joepii) - 17</t>
  </si>
  <si>
    <t>Philodendron Emerald Ripcurl™ (Squamiferum) - 17</t>
  </si>
  <si>
    <t>Philodendron Florida Green - 17</t>
  </si>
  <si>
    <t>Philodendron Fozzie™ (Fuzzy Petiole) w Moss Pole - 17</t>
  </si>
  <si>
    <t>Philodendron Gloriosum - 17</t>
  </si>
  <si>
    <t>Philodendron Golden Girl™ (Golden Ring of Fire) - 17</t>
  </si>
  <si>
    <t>Philodendron Mayoi - 17</t>
  </si>
  <si>
    <t>Philodendron Rojo Congo - 17</t>
  </si>
  <si>
    <t>Philodendron Ruby Ripcurl™ (Red Heart) - 17</t>
  </si>
  <si>
    <t>Philodendron silver sword w Moss Pole - 17</t>
  </si>
  <si>
    <t>Philodendron Toasted Toffee™ (El Choco Red) - 17</t>
  </si>
  <si>
    <t>Philodendron Twisted Sister™ (Tortum) - 17</t>
  </si>
  <si>
    <t>Philodendron Zigzag™ (Pluto) - 17</t>
  </si>
  <si>
    <t>Orange You Gorgeous™ (Orange Marmalade) - 17</t>
  </si>
  <si>
    <t>Schismatoglottis Gothic™ (Wallichi) - 17</t>
  </si>
  <si>
    <t>Schismatoglottis Rivera™ (Wallichii 190822) - 17</t>
  </si>
  <si>
    <t>TRIAL - Murdannia loriformis</t>
  </si>
  <si>
    <t>TRIAL - Syngonium Maria Allusion</t>
  </si>
  <si>
    <t>TRIAL - Tradescantia Silver - 12</t>
  </si>
  <si>
    <t>TRIAL - Aglaonema Prosperity</t>
  </si>
  <si>
    <t>TRIAL- Diedffenbachia Moonlight</t>
  </si>
  <si>
    <t>TRIAL- Epipremnum Gigantenum Variegated</t>
  </si>
  <si>
    <t>TRIAL- Episcia Cleopatra</t>
  </si>
  <si>
    <t>TRIAL- Fern Crocodyllus</t>
  </si>
  <si>
    <t>TRIAL- Fern Green Flame</t>
  </si>
  <si>
    <t>TRIAL - Ficus benjamina Monique</t>
  </si>
  <si>
    <t>TRIAL- Scindapsus NR 14</t>
  </si>
  <si>
    <t>TRIAL- Alocasia Little Zebrina-17</t>
  </si>
  <si>
    <t>TRIAL - Alocasia Nobilis - 17</t>
  </si>
  <si>
    <t>TRIAL - Alocasia Watsonia - 17</t>
  </si>
  <si>
    <t>TRIAL- Anthurium Clarinervium - 17</t>
  </si>
  <si>
    <t>TRIAL - Calathea Picturata - 17</t>
  </si>
  <si>
    <t>TRIAL- Dieffenbachia Camilla- 17</t>
  </si>
  <si>
    <t>TRIAL- Lyrata Bambino- 17</t>
  </si>
  <si>
    <t>TRIAL- Ficus Petiolaris-17</t>
  </si>
  <si>
    <t>TRIAL - Homalomena Tropical Green  - 17</t>
  </si>
  <si>
    <t>TRIAL - Philodendron Corccovadensis - 17</t>
  </si>
  <si>
    <t>TRIAL - Philodendron Distantilobum - 17</t>
  </si>
  <si>
    <t>TRIAL - Philodendron Glorius on moss pole  - 17</t>
  </si>
  <si>
    <t>TRIAL - Philodendron Imbo Variegata - 17</t>
  </si>
  <si>
    <t>TRIAL - Philodendron Jungle Fever (reverted)  - 17</t>
  </si>
  <si>
    <t>TRIAL - Philodendron Pedulatum - 17</t>
  </si>
  <si>
    <t>TRIAL - Philodendron Rugosum  - 17</t>
  </si>
  <si>
    <t>TRIAL - Yucca Elephantipes Argenta Blaze -17</t>
  </si>
  <si>
    <t>TRIAL - Yucca Elephantipes Silver  - 17</t>
  </si>
  <si>
    <t>Anthurium DocBlock Premier™ - Home, Sweet Home™ '32' x Red Velvet Cake™ '24'</t>
  </si>
  <si>
    <t>Fern Ruffled Arrow™ (Rumohra adiantiformis)</t>
  </si>
  <si>
    <t>CLIMB-ITT™ BOUTIQUE</t>
  </si>
  <si>
    <t>CLIMB-ITT™ PREMIUM</t>
  </si>
  <si>
    <t>Philodendron Fozzie™ ( Fuzzy Petiole)</t>
  </si>
  <si>
    <t xml:space="preserve">Philodendron Fozzie™ (Fuzzy Petiole) w Moss Pole  </t>
  </si>
  <si>
    <t>TRIAL - Begonia Black Mamba</t>
  </si>
  <si>
    <t>TRIAL- Fern Nephrolepis Cotton Candy</t>
  </si>
  <si>
    <t>TRIAL- Fern Nephrolepis Petticoat</t>
  </si>
  <si>
    <t>TRIAL- Aglaonema Red Bourjous</t>
  </si>
  <si>
    <t>TRIAL- Aglaonema Siam Violet</t>
  </si>
  <si>
    <t>TRIAL- Aglaonema Siam Pink</t>
  </si>
  <si>
    <t>TBD</t>
  </si>
  <si>
    <t>H 6" - 9" W 7"</t>
  </si>
  <si>
    <t>H 9" " W 12" - 16"</t>
  </si>
  <si>
    <t xml:space="preserve">10" - 14" </t>
  </si>
  <si>
    <t>TRIAL-Homalomena KT Green</t>
  </si>
  <si>
    <t>H 10" - 14"</t>
  </si>
  <si>
    <t>Philodendron Pink Princess Galaxy</t>
  </si>
  <si>
    <t>Dracaena Silver Sea Monkey™ (Kanzi)-12</t>
  </si>
  <si>
    <t>Dracaena Silver Sea Monkey™ (Kanzi)</t>
  </si>
  <si>
    <t>Dracaena Stingray Star™ (Tornado)</t>
  </si>
  <si>
    <t>Philodendron Twisted Sister™ (Tortum wide form)</t>
  </si>
  <si>
    <t>Anthurium Home, Sweet Home™ '32' x DocBlock Dark &amp; Handsome™ '9'</t>
  </si>
  <si>
    <t>Trial- Dracaena Sanderiana</t>
  </si>
  <si>
    <t>Trial- Dracaena White Jewel</t>
  </si>
  <si>
    <t>Trial- Dracaena Urban Urchin™ (Malaika)</t>
  </si>
  <si>
    <t>Trial- Dracaena Surprise</t>
  </si>
  <si>
    <t>Trial- Dracaena Jade Jewel</t>
  </si>
  <si>
    <t>Trial- Dracaena Dragontree dorado</t>
  </si>
  <si>
    <t>Trial- Aglaonema Lady Valentine</t>
  </si>
  <si>
    <t>Trial- Philodendron Brazil on Climb-itt™ pole</t>
  </si>
  <si>
    <t>9"-12"</t>
  </si>
  <si>
    <t>Trial- Fern Nicolas Diamond</t>
  </si>
  <si>
    <t>Trial- Fern Bronze Venus</t>
  </si>
  <si>
    <t>Trial- Calathea C056</t>
  </si>
  <si>
    <t>Trial- Calathea C054</t>
  </si>
  <si>
    <t>Trial- Stromanthe Variegata</t>
  </si>
  <si>
    <t>Trial- Tradescantia Gelfling</t>
  </si>
  <si>
    <t>Trial- Fern Polystichum Tsis-simense</t>
  </si>
  <si>
    <t>17cm Boutique</t>
  </si>
  <si>
    <t>Small Terraform Terrarium</t>
  </si>
  <si>
    <t>12cm CLIMB-ITT™ Boutique</t>
  </si>
  <si>
    <t>Small Terraform Terrarium (Case of 16)</t>
  </si>
  <si>
    <t>Medium Terraform Terrarium (Case of 6)</t>
  </si>
  <si>
    <t>$32.99 - $35.99</t>
  </si>
  <si>
    <t>leaves halfway up</t>
  </si>
  <si>
    <t>Begonia African Jungle - Balance</t>
  </si>
  <si>
    <t>Begonia Black Velvet - Balance</t>
  </si>
  <si>
    <t>Begonia Dappled Morning™ (Double Dot)- Balance</t>
  </si>
  <si>
    <t>Begonia Obsidian™ (Black Forest)- Balance</t>
  </si>
  <si>
    <t>Chlorophytum Pixie Punk™ (Ocean)- Balance</t>
  </si>
  <si>
    <t>Crassula Pretty in Pewter (Tenelli) - Balance</t>
  </si>
  <si>
    <t>Curio Turquoise Tentacles (Mount Everest) - Balance</t>
  </si>
  <si>
    <t>Cyanotis Frosted Terra™ (Somaliensis)- Balance</t>
  </si>
  <si>
    <t>Delosperma Cactini™ (Echinatum) -  Balance</t>
  </si>
  <si>
    <t>Dracaena Stingray Star™ (Tornado)- Balance</t>
  </si>
  <si>
    <t>Epipremnum Golden Glen™ - Balance</t>
  </si>
  <si>
    <t>Epipremnum Green Isle™ - Balance</t>
  </si>
  <si>
    <t>Epipremnum Jade - Balance</t>
  </si>
  <si>
    <t>Epipremnum Njoy - Balance</t>
  </si>
  <si>
    <t>Epipremnum Off to Oz™ (Neon) -  Balance</t>
  </si>
  <si>
    <t>Epipremnum Snowy Morning™ (Marble Queen) - Balance</t>
  </si>
  <si>
    <t>Epipremnum Summer Nights™ (Hawaiian) - Balance</t>
  </si>
  <si>
    <t>Fern Cute as a Button™ (Duffi) - Balance</t>
  </si>
  <si>
    <t>Fern Platycerium Ribbon Dance™ (Veitchii) - Balance</t>
  </si>
  <si>
    <t>Fern Platycerium Sword Dance™ (bifurcatum) - Balance</t>
  </si>
  <si>
    <t>Fern Ruffled Arrow™ (Rumohra Variegata) - Balance</t>
  </si>
  <si>
    <t>Fern Wooly Tassel™ (Davallia Fejeensis)- Balance</t>
  </si>
  <si>
    <t>Fern Twirly Whirly™  (Emina) - Balance</t>
  </si>
  <si>
    <t>Fittonia All The Time (Tiger/White Tiger)- Balance</t>
  </si>
  <si>
    <t xml:space="preserve"> Fittonia Breaking News (Jungle Flame) - Balance</t>
  </si>
  <si>
    <t>Fittonia Broadcast (Purple Snow Anne)- Balance</t>
  </si>
  <si>
    <t>Fittonia Current News (Forest)- Balance</t>
  </si>
  <si>
    <t>Fittonia Dispatch™ (Verschaffeltii Pink) - Balance</t>
  </si>
  <si>
    <t>Fittonia Late Night (Marble Green)- Balance</t>
  </si>
  <si>
    <t>Fittonia Latest News (Flammule)- Balance</t>
  </si>
  <si>
    <t>Fittonia Media (Red Flame)- Balance</t>
  </si>
  <si>
    <t xml:space="preserve"> Fittonia Nightly (Zalm Forest Flame) - Balance</t>
  </si>
  <si>
    <t>Fittonia Primetime (Skeleton) - Balance</t>
  </si>
  <si>
    <t>Fittonia Top Stories (Pink Forest Flame) - Balance</t>
  </si>
  <si>
    <t>Fittonia World Views (Lovers) - Balance</t>
  </si>
  <si>
    <t xml:space="preserve"> Hoya Autumn Blush - Balance</t>
  </si>
  <si>
    <t>Hoya Carnosa Freckled Splash - Balance</t>
  </si>
  <si>
    <t>Hoya Chouke - Balance</t>
  </si>
  <si>
    <t>Hoya Emerald Surf™ (Endauensis) - Balance</t>
  </si>
  <si>
    <t>Hoya Green Light (Carnosa Tricolor) - Balance</t>
  </si>
  <si>
    <t>Hoya Kelp Grove™ (Wayettii Tricolor)- Balance</t>
  </si>
  <si>
    <t>Hoya Mathilde Splash - Balance</t>
  </si>
  <si>
    <t>Hoya Misty Morning™ (Lacunosa Mint) - Balance</t>
  </si>
  <si>
    <t xml:space="preserve"> Hoya Sea Stones™ (Burtoniae Variegated) - Balance</t>
  </si>
  <si>
    <t>Hoya Teacup Anemone™ (Fitchii) - Balance</t>
  </si>
  <si>
    <t>Hoya Vangviengiensis - Balance</t>
  </si>
  <si>
    <t>Peperomia Salt and Pepper™ (Obitpan Marble)- Balance</t>
  </si>
  <si>
    <t>Peperomia Spice is Nice™ (Obtipan Green) - Balance</t>
  </si>
  <si>
    <t>Peperomia Sweet and Sour™ (Obtipan bi-color) - Balance</t>
  </si>
  <si>
    <t>Sansevieria Superba - Balance</t>
  </si>
  <si>
    <t>Scindapsus Sage and Cream™ (Silver Philo/Scandens Picta) - Balance</t>
  </si>
  <si>
    <t>Senecio Kathmandu™ (Himalaya) - Balance</t>
  </si>
  <si>
    <t xml:space="preserve"> Senecio Mini Mammoth (Scaposus) - Balance</t>
  </si>
  <si>
    <t xml:space="preserve"> Syngonium Champaign Reign (Milk Confetti) - Balance</t>
  </si>
  <si>
    <t>Syngonium Cupid's Quiver™ (Neon) - Balance</t>
  </si>
  <si>
    <t>Syngonium Glacier Reign™ (Snow White/White Butterfly) - Balance</t>
  </si>
  <si>
    <t>Syngonium Ruby Reign™ (Red Vein) - Balance</t>
  </si>
  <si>
    <t>Tradescantia Feeling Flirty™ - Balance</t>
  </si>
  <si>
    <t>Tradescnatia Feeling Sweet™ (Tenderness) - Balance</t>
  </si>
  <si>
    <t>Hoya Adrift™ (Rosita) - Balance</t>
  </si>
  <si>
    <t>Aglaonema Bold Forest™ (Zebra) - Balance</t>
  </si>
  <si>
    <t>Aglaonema Crystal Vision™ (Stripes) - Balance</t>
  </si>
  <si>
    <t>Aglaonema Glitter Glamour™ (Silver Bay) - Balance</t>
  </si>
  <si>
    <t>Aglaonema Ivory Frost™ (Thai White)- Balance</t>
  </si>
  <si>
    <t>Aglaonema Timeless Tides™ (Silver Queen) - Balance</t>
  </si>
  <si>
    <t>Alocasia Dragon Scale- Balance</t>
  </si>
  <si>
    <t>Alocasia Dragonite™ (Melo)- Balance</t>
  </si>
  <si>
    <t>Alocasia Into the Night™ (Antoro Velvet)- Balance</t>
  </si>
  <si>
    <t>Alocasia Jungle Music™ (Siberian Tiger)- Balance</t>
  </si>
  <si>
    <t>Alocasia Pining For You-(Scalprum)- Balance</t>
  </si>
  <si>
    <t>Alocasia Quicksilver™  (Reginae/Platinum)- Balance</t>
  </si>
  <si>
    <t>Alocasia Rumplestiltskin™  (Sinuata)- Balance</t>
  </si>
  <si>
    <t>Alocasia Silver Dragon- Balance</t>
  </si>
  <si>
    <t>Alocasia Tentacular™ (Flying Squid) - Balance</t>
  </si>
  <si>
    <t>Anthurium Michelle™ - Balance</t>
  </si>
  <si>
    <t>Anthurium (Michelle™ x DocBlock Zara™) '28' x DocBlock Zara™ '52'- Balance</t>
  </si>
  <si>
    <t>Anthurium Angela™ '35' x Michelle™ '1'- Balance</t>
  </si>
  <si>
    <t>Anthurium Black Widow™ '43' x Black Widow™ '13'- Balance</t>
  </si>
  <si>
    <t>Anthurium Black Widow™ '43' x Carlablackiae '80'- Balance</t>
  </si>
  <si>
    <t>Anthurium Briëlle™ '16' x Briëlle™ '16'- Balance</t>
  </si>
  <si>
    <t>Anthurium Brown Derby™ '29' x (Michelle™ x DocBlock Zara™) '28'- Balance</t>
  </si>
  <si>
    <t>Anthurium Brown Derby™ '29' x DocBlock Purple Rain™ '27'- Balance</t>
  </si>
  <si>
    <t>Anthurium Brown Derby™ '29' x DocBlock Zara™ '3'- Balance</t>
  </si>
  <si>
    <t>Anthurium Brown Derby™ '29' x Wonderful™ '7'- Balance</t>
  </si>
  <si>
    <t>Anthurium Brown Derby™ '39' x Brown Derby™ '29' - Balance</t>
  </si>
  <si>
    <t>Anthurium Brown Derby™ '39' x DocBlock Purple Rain™ '27'- Balance</t>
  </si>
  <si>
    <t>Anthurium Crystallinum '8' x DocBlock Crystal Red™ '12'- Balance</t>
  </si>
  <si>
    <t>Anthurium DocBlock Crystal Red™ '12' x Angela™ '35'- Balance</t>
  </si>
  <si>
    <t>Anthurium DocBlock Crystal Red™ '12' x DocBlock Zara™ '3'- Balance</t>
  </si>
  <si>
    <t>Anthurium DocBlock Dark &amp; Handsome™ '9' x Black Widow™ '13- Balance</t>
  </si>
  <si>
    <t>Anthurium DocBlock Dark &amp; Handsome™ '9' x DocBlock Dark &amp; Handsome™ '9'- Balance</t>
  </si>
  <si>
    <t>Anthurium DocBlock Dark &amp; Handsome™ '9' x DocBlock Zara™ '33'- Balance</t>
  </si>
  <si>
    <t>Anthurium DocBlock Dark &amp; Handsome™ '9' x Red Velvet Cake™ '24'- Balance</t>
  </si>
  <si>
    <t>Anthurium DocBlock Minerva™ '20' x DocBlock Minerva™ '20'- Balance</t>
  </si>
  <si>
    <t>Anthurium DocBlock Minerva™ '20' x Michelle™ Long '22'- Balance</t>
  </si>
  <si>
    <t>Anthurium DocBlock Zara™ '14' x Home, Sweet Home™ '32'- Balance</t>
  </si>
  <si>
    <t>Anthurium DocBlock Zara™ '3' x Big Ruby '56'- Balance</t>
  </si>
  <si>
    <t>Anthurium DocBlock Zara™ '3' x DocBlock Zara™ '33'- Balance</t>
  </si>
  <si>
    <t>Anthurium DocBlock Zara™ '31' x DocBlock Crystal Red™ '12'- Balance</t>
  </si>
  <si>
    <t>Anthurium DocBlock Zara™ '33' x Home, Sweet Home™ '32'- Balance</t>
  </si>
  <si>
    <t>Anthurium DocBlock Premier™ - Home, Sweet Home™ '32' x Red Velvet Cake™ '24' - Balance</t>
  </si>
  <si>
    <t>Anthurium Magnificent Dark '49' x Brown Derby™ '39'- Balance</t>
  </si>
  <si>
    <t>Anthurium Magnificent Dark '49' x Home, Sweet Home™ '32'- Balance</t>
  </si>
  <si>
    <t>Anthurium Michelle™ '1' x DocBlock Zara™ '14'- Balance</t>
  </si>
  <si>
    <t>Anthurium Michelle™ '1' x Red Velvet Cake™ '24'- Balance</t>
  </si>
  <si>
    <t>Anthurium Michelle™ '10' x Brown Derby™ '29'- Balance</t>
  </si>
  <si>
    <t>Anthurium Michelle™ '10' x DocBlock Minerva™ '20- Balance</t>
  </si>
  <si>
    <t>Anthurium Michelle™ '11' x DocBlock Purple Rain™ '27'- Balance</t>
  </si>
  <si>
    <t>Anthurium Michelle™ '11' x Michelle™ '1'- Balance</t>
  </si>
  <si>
    <t>Anthurium Red Velvet Cake™ '24' x Home, Sweet Home™ '32'- Balance</t>
  </si>
  <si>
    <t>Anthurium Red Velvet Cake™ '24' x Michelle™ '11'- Balance</t>
  </si>
  <si>
    <t>Anthurium Thor's Lightning™ '30' x Home, Sweet Home™ '32'- Balance</t>
  </si>
  <si>
    <t>Anthurium Home, Sweet Home™ '32' x DocBlock Dark &amp; Handsome™ '9' - Balance</t>
  </si>
  <si>
    <t>Anthurium Alexandrite is Right™ (Crystallinum)- Balance</t>
  </si>
  <si>
    <t>Anthurium DocBlock Zara™ '31' x Tortoise Shell™ Grey '36' - Balance</t>
  </si>
  <si>
    <t>Anthurium Heart's Afire™ (Magnificum) - Balance</t>
  </si>
  <si>
    <t>Anthurium Heart's Desire™ (Silver Blush) - Balance</t>
  </si>
  <si>
    <t>Apoballis Opulence™ (Red Sword)- Balance</t>
  </si>
  <si>
    <t>Begonia Criss Cross™ (Masonia Mountain/Rock) - Balance</t>
  </si>
  <si>
    <t>Begonia Crystalline Sparkle™ (Masoniana Jungle)- Balance</t>
  </si>
  <si>
    <t>Calathea Elger grass - Balance</t>
  </si>
  <si>
    <t>Calathea Freddie Balance</t>
  </si>
  <si>
    <t>Calathea Insignis™  (lancifolia)- Balance</t>
  </si>
  <si>
    <t>Calathea Lancelot™ (Wave Star)- Balance</t>
  </si>
  <si>
    <t>Calathea Like a Prayer™ (Marion) -  Balance</t>
  </si>
  <si>
    <t>Calathea Makoyona- Balance</t>
  </si>
  <si>
    <t>Calathea Medallion- Balance</t>
  </si>
  <si>
    <t>Calathea Orbifolia- Balance</t>
  </si>
  <si>
    <t>Calathea Ornata Beauty Star- Balance</t>
  </si>
  <si>
    <t>Calathea Ornata sanderiana- Balance</t>
  </si>
  <si>
    <t>Calathea Rufibarba - Balance</t>
  </si>
  <si>
    <t>Calathea Thoreau™  (Misto) - Balance</t>
  </si>
  <si>
    <t>Calathea Xena™  (Tropistar) - Balance</t>
  </si>
  <si>
    <t>Ctenanthe Burle-marxii- Balance</t>
  </si>
  <si>
    <t>Ctenanthe Burle-marxii Amagris- Balance</t>
  </si>
  <si>
    <t>Ctenanthe Golden Mosaic -  Balance</t>
  </si>
  <si>
    <t>Ctenanthe Setosa Exotica- Balance</t>
  </si>
  <si>
    <t>Ctenanthe Setosa Grey Star- Balance</t>
  </si>
  <si>
    <t>Dracaena Silver Sea Monkey™ (Kanzi)- Balance</t>
  </si>
  <si>
    <t>Epipremnum Golden Glen- Balance</t>
  </si>
  <si>
    <t>Epipremnum Green Isle™- Balance</t>
  </si>
  <si>
    <t>Epipremnum Njoy- Balance</t>
  </si>
  <si>
    <t>Fern Asplenium Hurricane (Twisted Birds Nest)- Balance</t>
  </si>
  <si>
    <t>Fern Asplenium Mother- Balance</t>
  </si>
  <si>
    <t>Fern Asplenium Victoria (Japanese Bird's Nest Fern)- Balance</t>
  </si>
  <si>
    <t>Fern Bird's Nest Antiquum- Balance</t>
  </si>
  <si>
    <t>Fern Phlebodium Davana- Balance</t>
  </si>
  <si>
    <t>Fern Platycerium Sword Dance™ (bifurcatum)- Balance</t>
  </si>
  <si>
    <t>Ruffled Arrow™ (Rumohra adiantiformis)- Balance</t>
  </si>
  <si>
    <t>Ficus Ghost Rider™ (Shivereana) -  Balance</t>
  </si>
  <si>
    <t>Ficus Mini Zen™ (Cyathistipula Mini) - Balance</t>
  </si>
  <si>
    <t>Ficus benjamina Anastasia- Balance</t>
  </si>
  <si>
    <t>Ficus benjamina Danielle- Balance</t>
  </si>
  <si>
    <t>Ficus benjamina Over the Edge™ (Samantha)- Balance</t>
  </si>
  <si>
    <t>Ficus elastica Abidjan- Balance</t>
  </si>
  <si>
    <t>Ficus elastica Belize- Balance</t>
  </si>
  <si>
    <t>Ficus elastica Chloe- Balance</t>
  </si>
  <si>
    <t>Ficus elastica Tineke- Balance</t>
  </si>
  <si>
    <t>Geogenanthus Roxie™ (Poeppigii) - Balance</t>
  </si>
  <si>
    <t>Homalomena Uplift™ (Camouflage)- Balance</t>
  </si>
  <si>
    <t>Hoya Blushing Sunset™ (Wibergiae) -Balance</t>
  </si>
  <si>
    <t>Hoya Blushing Sunset™ (wibergiae) on Climb-itt™ Tripod - Balance</t>
  </si>
  <si>
    <t>Hoya Carnosa Freckled Splash-  Balance</t>
  </si>
  <si>
    <t>Hoya Coastal Ripple™ (Erythrina)- Balance</t>
  </si>
  <si>
    <t>Hoya Fresh Rain™ (Rangsan)- Balance</t>
  </si>
  <si>
    <t>Hoya Latifolia Pot of Gold - Balance</t>
  </si>
  <si>
    <t>Hoya Night Sparrow™ (Clemensiorum Dark Leaf) - Balance</t>
  </si>
  <si>
    <t>Hoya Night Sparrow™ (Clemensiorum Dark Leaf) on Climb-itt™ Tripod - Balance</t>
  </si>
  <si>
    <t>Hoya Quinquenervia- Balance</t>
  </si>
  <si>
    <t>Hoya Reef Rider™ (Latifolia Albomarginata) - Balance</t>
  </si>
  <si>
    <t>Hoya Reef Rider™ (Latifolia Albomarginata) on Climb-itt™ Tripod - Balance</t>
  </si>
  <si>
    <t>Hoya Sabah - Balance</t>
  </si>
  <si>
    <t>Hoya Sabah on Climb-itt™ Tripod - Balance</t>
  </si>
  <si>
    <t>Hoya Sarawak Cream - Balance</t>
  </si>
  <si>
    <t>Hoya Shadow Falls™ (Callistophylla KAL 16)- Balance</t>
  </si>
  <si>
    <t>Hoya Shadow Falls™ (Callistophylla KAL 16) on Climb-itt™ Tripod - Balance</t>
  </si>
  <si>
    <t>Hoya Shining Sea Star™ (Flamingo Dream)- Balance</t>
  </si>
  <si>
    <t>Labisia Kura Kura™ (Turtle Back) - Balance</t>
  </si>
  <si>
    <t>Maranta Say Grace™ (Kerchoveana Variegata)- 12  Balance</t>
  </si>
  <si>
    <t>Monstera Adansonii- Balance</t>
  </si>
  <si>
    <t>Monstera Spotsylvania™ (Thai Constellation)- Balance</t>
  </si>
  <si>
    <t>Philodendron Atabapoense-  Balance</t>
  </si>
  <si>
    <t>Philodendron Birkin- Balance</t>
  </si>
  <si>
    <t>Philodendron Brandtianum- Balance</t>
  </si>
  <si>
    <t>Philodendron Deviant™ (Rugosum Aberant)- Balance</t>
  </si>
  <si>
    <t>Philodendron Double-edged Sword™ (Golden Ring of Fire/Rambo) - Balance</t>
  </si>
  <si>
    <t xml:space="preserve"> Philodendron Fall Leaves™ (McColley's Finale) - Balance</t>
  </si>
  <si>
    <t>Philodendron Fozzie™ (Nangaritense Fuzzy Petiole)- Balance</t>
  </si>
  <si>
    <t>Philodendron Golden Apple™ (Stenolobum Narrow)- Balance</t>
  </si>
  <si>
    <t>Philodendron Golden Girl™ (Golden Ring of Fire)- Balance</t>
  </si>
  <si>
    <t>Philodendron Orange Smooth™ (Billietae) - Balance</t>
  </si>
  <si>
    <t>Philodendron Orange you Gorgeous™ (Orange Marmalade) - Balance</t>
  </si>
  <si>
    <t>Philodendron Pink Princess- Balance</t>
  </si>
  <si>
    <t>Philodendron Pop Art™ (Black Cardinal) - Balance</t>
  </si>
  <si>
    <t>Philodendron Prince of Orange- Balance</t>
  </si>
  <si>
    <t>Philodendron Regal Rouge™ (Orange Mutant Red Imperial II)- Balance</t>
  </si>
  <si>
    <t>Philodendron Rojo Congo- Balance</t>
  </si>
  <si>
    <t>Philodendron Ruby Ripcurl™ (Red Heart) - Balance</t>
  </si>
  <si>
    <t>Philodendron Sun Red- Balance</t>
  </si>
  <si>
    <t>Philodendron Toasted Toffee™ (El Choco Red)- Balance</t>
  </si>
  <si>
    <t>Philodendron White Wizzard- Balance</t>
  </si>
  <si>
    <t>Philodendron Pink Princess Galaxy- Balance</t>
  </si>
  <si>
    <t xml:space="preserve"> Philodendron Splash Dash™ (White Princess) - Balance</t>
  </si>
  <si>
    <t xml:space="preserve"> Philodendron Twisted Sister™ (Tortum) - Balance</t>
  </si>
  <si>
    <t>Piper Pink Crocodile™ (Crocatum)- Balance</t>
  </si>
  <si>
    <t>Piper Salmon Sky™ (Indonesia Pink)- Balance</t>
  </si>
  <si>
    <t>Piper Tahitian Dreamin'™ (Sylvaticum)- Balance</t>
  </si>
  <si>
    <t>Scindapsus Kalimantan - Balance</t>
  </si>
  <si>
    <t>Scindapsus Silver Splash- Balance</t>
  </si>
  <si>
    <t>Stromanthe Stripestar- Balance</t>
  </si>
  <si>
    <t>Stromanthe Triostar- Balance</t>
  </si>
  <si>
    <t>Tradescantia Feeling Flirty- Balance</t>
  </si>
  <si>
    <t>Tradescantia Feeling Frosty™ (Brightness)- Balance</t>
  </si>
  <si>
    <t>TRIAL - Begonia Black Mamba - Balance</t>
  </si>
  <si>
    <t>TRIAL - Begonia Kingiana Dark - Balance</t>
  </si>
  <si>
    <t>TRIAL - Begonia Pink Spot - Balance</t>
  </si>
  <si>
    <t>TRIAL - Begonia Red Slippers - Balance</t>
  </si>
  <si>
    <t>TRIAL - Begonia Rex Escargot -  Balance</t>
  </si>
  <si>
    <t>TRIAL - Begonia Rex Salsa - Balance</t>
  </si>
  <si>
    <t>TRIAL - Begonia Snow Capped - Balance</t>
  </si>
  <si>
    <t>TRIAL - Begonia Spotlight Dark- Balance</t>
  </si>
  <si>
    <t>TRIAL - Begonia Spotlight Green- Balance</t>
  </si>
  <si>
    <t>TRIAL - Chlorophytum Atlentic - Balance</t>
  </si>
  <si>
    <t>TRIAL- Chlorphytum COB- Balance</t>
  </si>
  <si>
    <t>TRIAL - Chlorophytum Lemon - Balance</t>
  </si>
  <si>
    <t>TRIAL - Chlorophytum Reverse - Balance</t>
  </si>
  <si>
    <t>TRIAL - Chlorophytum Variegatum - Balance</t>
  </si>
  <si>
    <t>Trial- Dracaena Sanderiana- Balance</t>
  </si>
  <si>
    <t>TRIAL - Episcia Country Brilliance - Balance</t>
  </si>
  <si>
    <t>TRIAL - Episcia Joy Sweetie Pink - Balance</t>
  </si>
  <si>
    <t>TRIAL - Episcia Malayan Gem - Balance</t>
  </si>
  <si>
    <t>TRIAL - Episcia Pink Acajou - Balance</t>
  </si>
  <si>
    <t>TRIAL - Episcia Red Crocodile - Balance</t>
  </si>
  <si>
    <t>TRIAL - Episcia Silver Shield - Balance</t>
  </si>
  <si>
    <t>TRIAL - Actiniopteris Australis - Balance</t>
  </si>
  <si>
    <t>TRIAL - Adiantum Fritz Luthi- Balance</t>
  </si>
  <si>
    <t>TRIAL - Aspenium Ebenoides - Balance</t>
  </si>
  <si>
    <t>TRIAL - Fern Davallia Tyermannii - Balance</t>
  </si>
  <si>
    <t>TRIAL - Dryopteris Linearis Polydatila - Balance</t>
  </si>
  <si>
    <t>TRIAL - Fern Fluffy Ruffles - Balance</t>
  </si>
  <si>
    <t>TRIAL - Hemionitis Arifolia - Balance</t>
  </si>
  <si>
    <t>TRIAL - Microsorum Diversifolium -  Balance</t>
  </si>
  <si>
    <t>TRIAL- Fern Nephrolepis Cotton Candy - Balance</t>
  </si>
  <si>
    <t>TRIAL - Nephrolepis Green Fantasy - Balance</t>
  </si>
  <si>
    <t>TRIAL- Fern Nephrolepis Petticoat - Balance</t>
  </si>
  <si>
    <t>TRIAL - Pellaea Rotundifolia - Balance</t>
  </si>
  <si>
    <t>TRIAL - Phyllitis Angustifolia - Balance</t>
  </si>
  <si>
    <t>TRIAL - Phyllitis Cristata - Balance</t>
  </si>
  <si>
    <t>TRIAL - Phyllitis Scolopendrium - Balance</t>
  </si>
  <si>
    <t>TRIAL - Phyllitis Scolopendrium Undulata - Balance</t>
  </si>
  <si>
    <t>TRIAL - Polystichum Densum - Balance</t>
  </si>
  <si>
    <t>TRIAL - Polystichum Polyblepharum -  Balance</t>
  </si>
  <si>
    <t>TRIAL - Fern Polystichum Rigens -  Balance</t>
  </si>
  <si>
    <t>Trial- Fern Polystichum Tsis-simense- Balance</t>
  </si>
  <si>
    <t>TRIAL - Fittonia Albivenis Red -  Balance</t>
  </si>
  <si>
    <t>TRIAL - Fittonia Firetail -  Balance</t>
  </si>
  <si>
    <t>TRIAL- Fittonia Forest Flame - Balance</t>
  </si>
  <si>
    <t>TRIAL- Fittonia Jade - Balance</t>
  </si>
  <si>
    <t>TRIAL - Fittonia Joly Lemon - Balance</t>
  </si>
  <si>
    <t>TRIAL - Fittonia Light Pink Anne - Balance</t>
  </si>
  <si>
    <t>TRIAL - Fittonia Mistral -  Balance</t>
  </si>
  <si>
    <t>TRIAL - Fittonia Pink Anne -  Balance</t>
  </si>
  <si>
    <t>TRIAL - Fittonia Whisper - Balance</t>
  </si>
  <si>
    <t>TRIAL - Fittonia Zalm Ruby Lime - Balance</t>
  </si>
  <si>
    <t>TRIAL - Hedera Asterisk - Balance</t>
  </si>
  <si>
    <t>TRIAL - Hedera Glacier -  Balance</t>
  </si>
  <si>
    <t>TRIAL - Hedera Goldstern -  Balance</t>
  </si>
  <si>
    <t>TRIAL - Hedera Luzii - Balance</t>
  </si>
  <si>
    <t>TRIAL - Hedera Mini Esther -  Balance</t>
  </si>
  <si>
    <t>TRIAL - Hedera Yellow Ripple -  Balance</t>
  </si>
  <si>
    <t>TRIAL- Hoya Australis Lisa- Balance</t>
  </si>
  <si>
    <t>TRIAL- Carnosa Stardust - Balance</t>
  </si>
  <si>
    <t>TRIAL - Hoya Crassiopetiolata Splash Round Leaf -  Balance</t>
  </si>
  <si>
    <t>TRIAL - Hoya Curtisii -  Balance</t>
  </si>
  <si>
    <t>TRIAL - Hoya Gracilis -  Balance</t>
  </si>
  <si>
    <t>TRIAL - Hoya Heuschkeliana Variegated -  Balance</t>
  </si>
  <si>
    <t>TRIAL - Hoya Krinkle 8 -  Balance</t>
  </si>
  <si>
    <t>TRIAL - Hoya Krohniana Eskimo -  Balance</t>
  </si>
  <si>
    <t>TRIAL- Lacunosa Snow leopard -  Balance</t>
  </si>
  <si>
    <t>TRIAL- Lacunosa sp Bruno  -  Balance</t>
  </si>
  <si>
    <t>TRIAL- Hoya Nabawensis Splash- 9 Balance</t>
  </si>
  <si>
    <t>TRIAL- Hoya Red Maroon-  Balance</t>
  </si>
  <si>
    <t>TRIAL- Hoya Serpens- Balance</t>
  </si>
  <si>
    <t>TRIAL - Hoya Sigillatis -  Balance</t>
  </si>
  <si>
    <t>TRIAL- Hoya sp Garut- Balance</t>
  </si>
  <si>
    <t>TRIAL - Hoya Zambales - Balance</t>
  </si>
  <si>
    <t>TRIAL - Murdannia loriformis - Balance</t>
  </si>
  <si>
    <t>TRIAL - Peperomia Angulata Rocca High -  Balance</t>
  </si>
  <si>
    <t>TRIAL- Peperomia Caperata Frost- Balance</t>
  </si>
  <si>
    <t>TRIAL - Peperomia Caperata Greyhound -  Balance</t>
  </si>
  <si>
    <t>TRIAL - Peperomia Caperata Milano -  Balance</t>
  </si>
  <si>
    <t>TRIAL - Peperomia Caperata Moonlight - Balance</t>
  </si>
  <si>
    <t>TRIAL - Peperomia Caperata Moonshine - Balance</t>
  </si>
  <si>
    <t>TRIAL - Peperomia Caperata Royal Princess - Balance</t>
  </si>
  <si>
    <t>TRIAL - Peperomia Caperata Sunrise - Balance</t>
  </si>
  <si>
    <t>TRIAL - Peperomia clusiifolia compact - Balance</t>
  </si>
  <si>
    <t>TRIAL - Peperomia Clusiifolia Red Margin - 9 Balance</t>
  </si>
  <si>
    <t>TRIAL - Peperomia Napoli Night - 9 Balance</t>
  </si>
  <si>
    <t>TRIAL - Peperomia Obtusifolia Speckled - 9 Balance</t>
  </si>
  <si>
    <t>TRIAL - Peperomia Obtusifolia Twocolor - Balance</t>
  </si>
  <si>
    <t>TRIAL- Peperomia Piccolo Banda- Balance</t>
  </si>
  <si>
    <t>TRAIL - Peperomia Prostrata - Balance</t>
  </si>
  <si>
    <t>TRIAL- Peperomia Rosso-  Balance</t>
  </si>
  <si>
    <t>TRIAL - Peperomia sarcophylla smaragd XXL - Balance</t>
  </si>
  <si>
    <t>TRIAL - Peperomia Vestita Velvetree  - Balance</t>
  </si>
  <si>
    <t>TRIAL - Philodendron Brazil - Balance</t>
  </si>
  <si>
    <t>TRIAL - Philodendron Lupinum - Balance</t>
  </si>
  <si>
    <t>TRIAL - Philodendron Neon - Balance</t>
  </si>
  <si>
    <t>TRIAL - Pilea Hitchcockii - Balance</t>
  </si>
  <si>
    <t>TRIAL- Pilea Involucrata Norfolk- Balance</t>
  </si>
  <si>
    <t>TRIAL- Pilea Mollis- Balance</t>
  </si>
  <si>
    <t>TRIAL - Pilea Spp - Balance</t>
  </si>
  <si>
    <t>TRIAL - Pilea Spruceana -  Balance</t>
  </si>
  <si>
    <t>TRIAL- Sansevieria Trifasciata Gold Flame- Balance</t>
  </si>
  <si>
    <t>TRIAL - Scindapsus NR 14 -Balance</t>
  </si>
  <si>
    <t>TRIAL - Scindapsus Pictus Exotica -  Balance</t>
  </si>
  <si>
    <t>TRIAL - Scindapsus Pictus Sterling Silver -  Balance</t>
  </si>
  <si>
    <t>TRIAL - Scindapsus Sparkling Borneo -  Balance</t>
  </si>
  <si>
    <t>TRIAL - Scindapsus Treubii Moonlight - Balance</t>
  </si>
  <si>
    <t>TRIAL - Senecio Celphalophorus - Balance</t>
  </si>
  <si>
    <t>TRIAL - Senecio Macroglossus -  Balance</t>
  </si>
  <si>
    <t xml:space="preserve">TRIAL - Syngonium Batik  Balance </t>
  </si>
  <si>
    <t>TRIAL - Syngonium Bronze -  Balance</t>
  </si>
  <si>
    <t>TRIAL - Syngonium Green Velvet -  Balance</t>
  </si>
  <si>
    <t>TRIAL - Syngonium Little Star -  Balance</t>
  </si>
  <si>
    <t>TRIAL - Syngonium Mango Allusion -  Balance</t>
  </si>
  <si>
    <t>TRIAL - Syngonium Maria Allusion - Balance</t>
  </si>
  <si>
    <t>TRIAL - Syngonium Maya Red - Balance</t>
  </si>
  <si>
    <t>TRIAL - Syngonium New Wendlandii -  Balance</t>
  </si>
  <si>
    <t>TRIAL - Syngonium Nguengi laima 200835 -  Balance</t>
  </si>
  <si>
    <t>TRIAL - Syngonium Panda -  Balance</t>
  </si>
  <si>
    <t>TRIAL - Syngonium Pink Arrow -  Balance</t>
  </si>
  <si>
    <t>TRIAL - Syngonium Pick Green -  Balance</t>
  </si>
  <si>
    <t>TRIAL - Syngonium Pink Perfection - Balance</t>
  </si>
  <si>
    <t>TRIAL - Syngonium Pink Shade - Balance</t>
  </si>
  <si>
    <t>TRIAL - Syngonium Pink Splash -  Balance</t>
  </si>
  <si>
    <t>TRIAL - Syngonium Pink Wink - Balance</t>
  </si>
  <si>
    <t>TRIAL - Syngonium Profar Red - Balance</t>
  </si>
  <si>
    <t>TRIAL - Syngonium Red Spot Tricolor - Balance</t>
  </si>
  <si>
    <t>TRIAL - Syngonium Silver Ash - Balance</t>
  </si>
  <si>
    <t>TRIAL - Syngonium Starlite -  Balance</t>
  </si>
  <si>
    <t>TRIAL - Syngonium Infrared -  Balance</t>
  </si>
  <si>
    <t>TRIAL - Tradescantia Albiflora Albovittata Pink Clone -  Balance</t>
  </si>
  <si>
    <t>Trial- Tradescantia Gelfling- Balance</t>
  </si>
  <si>
    <t>TRIAL - Tradescantia Pallida 'Pale Puma' -  Balance</t>
  </si>
  <si>
    <t>TRIAL - Tradescantia Sillamontana Variegated  -  Balance</t>
  </si>
  <si>
    <t>TRIAL - Tradescantia Silver -  Balance</t>
  </si>
  <si>
    <t>TRIAL - Tradescantia Sweet Tabby Mini Lilac Sport -  Balance</t>
  </si>
  <si>
    <t>Anthurium DocBlock Premier™ - DocBlock Briëlle™ '16' x DocBlock Black Widow™ '13'</t>
  </si>
  <si>
    <t>Anthurium DocBlock Premier™ - DocBlock Minerva™ '20' x DocBlock Zara™ '14'</t>
  </si>
  <si>
    <t>TRIAL -Philodendron Burle Marx Fantasy on Climb-itt™ Pole</t>
  </si>
  <si>
    <t xml:space="preserve">CLIMB-ITT™ PREMIUM </t>
  </si>
  <si>
    <t>3/4 up on all sides</t>
  </si>
  <si>
    <t>Leaves 3/4 up the pole</t>
  </si>
  <si>
    <t>9cm Premium w/ Upgrade Container</t>
  </si>
  <si>
    <t>FLASH SALE</t>
  </si>
  <si>
    <t>DocBlock®Anthuriums</t>
  </si>
  <si>
    <t>Tradescantia Feeling Frosty™-9</t>
  </si>
  <si>
    <t>Tradescantia Feeling Frosty™</t>
  </si>
  <si>
    <t>TRIAL- Hoya Lacunosa Snow leopard</t>
  </si>
  <si>
    <t xml:space="preserve">TRIAL-Hoya Lacunosa sp Bruno </t>
  </si>
  <si>
    <t>TRIAL- Hoya Lacunosa Laos</t>
  </si>
  <si>
    <t>H 5-7" W 6"</t>
  </si>
  <si>
    <t>W 7"</t>
  </si>
  <si>
    <t>Trial- Episcia Black Velvet on Climb-itt™ Trunk- 12</t>
  </si>
  <si>
    <t>Trial- Episcia Black Velvet on Climb-itt™ Trunk</t>
  </si>
  <si>
    <t>Trial- Episcia Cleopatra on Climb-itt™ Trunk</t>
  </si>
  <si>
    <t>Trial- Episcia Country Brillance on Climb-itt™ Trunk</t>
  </si>
  <si>
    <t>Trial- Episcia Picasso on Climb-itt™ Trunk</t>
  </si>
  <si>
    <t>Trial- Episcia Malayan Gem on Climb-itt™ Trunk</t>
  </si>
  <si>
    <t>Trial- Episcia Joy Sweetie Pink on Climb-itt™ Trunk</t>
  </si>
  <si>
    <t>Trial- Episcia Pink Acajou on Climb-itt™ Trunk</t>
  </si>
  <si>
    <t>Trial- Episcia Pink Panther on Climb-itt™ Trunk</t>
  </si>
  <si>
    <t>Trial- Episcia Red Crocodile on Climb-itt™ Trunk</t>
  </si>
  <si>
    <t>Trial- Episcia Silver Shield on Climb-itt™ Trunk</t>
  </si>
  <si>
    <t>Trial- Maranta Leuconeura Marsiele</t>
  </si>
  <si>
    <t>Trial- Fern Asplenium Gioia</t>
  </si>
  <si>
    <t>Trial- Philodendron Marble Pink</t>
  </si>
  <si>
    <t>Trial- Philondendron Green Congo Hybrid</t>
  </si>
  <si>
    <t>Trial- Amydrium Medium Silver on Climb-itt™ Pole</t>
  </si>
  <si>
    <t>Trial- Monstera Acuminata on Climb-itt™ pole</t>
  </si>
  <si>
    <t>Trial- Philodendron Fozzie™ (Fuzzy Petiole) on Climb-itt™ pole</t>
  </si>
  <si>
    <t>Trial- Philodendron Pastazanum Silver x Plowmanni on Climb-itt™ pole</t>
  </si>
  <si>
    <t>Trial- Philodendron Gigantenum Variegated on Climb-itt™ pole</t>
  </si>
  <si>
    <t>Want to choose your own combinations? Select your options below in full case amounts. Minimum 20 cases.</t>
  </si>
  <si>
    <t xml:space="preserve">Pick Up Order minimum $1200. </t>
  </si>
  <si>
    <t>Trial- Tradescantia Cerin Blanca</t>
  </si>
  <si>
    <t>Trial- Amydrium Medium Silver on Climb-itt™ Pole- Balance</t>
  </si>
  <si>
    <t>TRIAL - Aglaonema Bidadari -  Balance</t>
  </si>
  <si>
    <t>TRIAL - Aglaonema Crete Fire - Balance</t>
  </si>
  <si>
    <t>TRIAL - Aglaonema Dud - Balance</t>
  </si>
  <si>
    <t>TRIAL - Aglaonema Frozen -  Balance</t>
  </si>
  <si>
    <t>TRIAL - Aglaonema Green Lady - Balance</t>
  </si>
  <si>
    <t>TRIAL - Aglaonema Grey Ghost - Balance</t>
  </si>
  <si>
    <t>TRIAL - Aglaonema Jubilee Compacta - Balance</t>
  </si>
  <si>
    <t>Trial- Aglaonema Lady Valentine- Balance</t>
  </si>
  <si>
    <t>TRIAL - Aglaonema Lipstick Pink - Balance</t>
  </si>
  <si>
    <t>TRIAL- Aglaonema Night Sparkle - Balance</t>
  </si>
  <si>
    <t>TRIAL - Aglaonema Osaka - Balance</t>
  </si>
  <si>
    <t>TRIAL - Aglaonema Peacock  - Balance</t>
  </si>
  <si>
    <t>TRIAL - Aglaonema Pincut -  Balance</t>
  </si>
  <si>
    <t>TRIAL - Aglaonema Prosperity - Balance</t>
  </si>
  <si>
    <t>TRIAL- Aglaonema Red Bourjous  - Balance</t>
  </si>
  <si>
    <t>TRIAL - Aglaonema Red Valentine - Balance</t>
  </si>
  <si>
    <t>TRIAL- Aglaonema Siam Pink - Balance</t>
  </si>
  <si>
    <t>TRIAL- Aglaonema Siam Violet - Balance</t>
  </si>
  <si>
    <t>TRIAL - Aglaonema White Lance - Balance</t>
  </si>
  <si>
    <t>TRIAL - Alocasia Cuprea Green -  Balance</t>
  </si>
  <si>
    <t>TRIAL - Alocasia Cuprea Koch - Balance</t>
  </si>
  <si>
    <t>TRIAL - Alocasia Green Unicorn -  Balance</t>
  </si>
  <si>
    <t>TRIAL- Alocasia Little Zebrina- Balance</t>
  </si>
  <si>
    <t>TRIAL - Alocasia Lukiwan - Balance</t>
  </si>
  <si>
    <t>TRIAL- Alocasia Nebula - Balance</t>
  </si>
  <si>
    <t>TRIAL - Alocasia Reginae L. Lindenex N.E. Br - Balance</t>
  </si>
  <si>
    <t>TRIAL - Luteocarpa Red Rubin  - Balance</t>
  </si>
  <si>
    <t>TRIAL - Anthurium Arrow - Balance</t>
  </si>
  <si>
    <t>TRIAL - Anthurium Big Bill  -Balance</t>
  </si>
  <si>
    <t>TRIAL - Anthurium Bonplandii subs guayanum - Balance</t>
  </si>
  <si>
    <t>TRIAL - Anthurium Clarinervium hybrid sulanjana - Balance</t>
  </si>
  <si>
    <t>TRIAL - Anthurium Doryaki Silver - Balance</t>
  </si>
  <si>
    <t>TRIAL - Anthurium Forgettii No. 1 - Balance</t>
  </si>
  <si>
    <t>TRIAL - Anthurium Forgettii No. 2 - Balance</t>
  </si>
  <si>
    <t>TRIAL - Anthurium Hookeri Aurea Variegated  - Balance</t>
  </si>
  <si>
    <t>TRIAL - Anthurium Magnificum - Balance</t>
  </si>
  <si>
    <t>TRIAL - Anthurium Veitchii -  Balance</t>
  </si>
  <si>
    <t>TRIAL - Anthurium Villenaorum -  Balance</t>
  </si>
  <si>
    <t>TRIAL - Anthurium Waroqueanum - Balance</t>
  </si>
  <si>
    <t>TRIAL - Anthurium Clarinervium - Balance</t>
  </si>
  <si>
    <t>TRIAL - Anthurium Forgetii  - Balance</t>
  </si>
  <si>
    <t>TRIAL - Anthurium Futura Superba - Balance</t>
  </si>
  <si>
    <t>TRIAL - Anthurium Hookeri - Balance</t>
  </si>
  <si>
    <t>TRIAL - Anthurium Hookeri No 3  - Balance</t>
  </si>
  <si>
    <t>TRIAL - Anthurium Hookeri Variegated (Mint) - Balance</t>
  </si>
  <si>
    <t>TRIAL - Anthurium Jenamnii -  Balance</t>
  </si>
  <si>
    <t>TRIAL - Anthurium Jenmanii Green Lady - Balance</t>
  </si>
  <si>
    <t>TRIAL - Anthurium Jenmanii Variegated - Balance</t>
  </si>
  <si>
    <t>TRIAL - Anthurium Magnificum Crystallinum  - Balance</t>
  </si>
  <si>
    <t>TRIAL - Anthurium Vittariifolium - Balance</t>
  </si>
  <si>
    <t>TRIAL - Aphelandra Squarrosa Dania -  Balance</t>
  </si>
  <si>
    <t>TRIAL - Aphelandra White Wash - Balance</t>
  </si>
  <si>
    <t>TRIAL - Aphelandra Zebra - Balance</t>
  </si>
  <si>
    <t>TRIAL - Begonia Masoniana Boulder - Balance</t>
  </si>
  <si>
    <t>TRIAL - Calathea C049 - Balance</t>
  </si>
  <si>
    <t>Trial- Calathea C054- Balance</t>
  </si>
  <si>
    <t>Trial- Calathea C056- Balance</t>
  </si>
  <si>
    <t>TRIAL - Calathea Fasciata Borusica - Balance</t>
  </si>
  <si>
    <t>TRIAL - Calathea Fusion White -  Balance</t>
  </si>
  <si>
    <t>TRIAL - Calathea Fusion Yellow -  Balance</t>
  </si>
  <si>
    <t>TRIAL- Calathea Gandersii- Balance</t>
  </si>
  <si>
    <t>TRIAL - Calathea Helen Kennedy - Balance</t>
  </si>
  <si>
    <t>TRIAL - Calathea Illustris -  Balance</t>
  </si>
  <si>
    <t>TRIAL - Calathea Julia - Balance</t>
  </si>
  <si>
    <t>TRIAL - Calathea Louisae Thai Beauty - Balance</t>
  </si>
  <si>
    <t>TRIAL - Calathea Roseopicta - Balance</t>
  </si>
  <si>
    <t>TRIAL - Calathea Roseopicta Silvia - Balance</t>
  </si>
  <si>
    <t>TRIAL - Calathea Silver Plate Red Leaf - Balance</t>
  </si>
  <si>
    <t>TRIAL - Calathea Veitchiana - Balance</t>
  </si>
  <si>
    <t>TRIAL - Calathea Zebrina - Balance</t>
  </si>
  <si>
    <t>TRIAL - Cissus Quadrangularis - Balance</t>
  </si>
  <si>
    <t>TRIAL- Cyrtosperma Johnstonii Black Jack- Balance</t>
  </si>
  <si>
    <t>TRIAL- Dieffenbachia Americano- Balance</t>
  </si>
  <si>
    <t>TRIAL- Dieffenbachia Sublime- Balance</t>
  </si>
  <si>
    <t>TRIAL - Dieffenbachia White Blizzard - Balance</t>
  </si>
  <si>
    <t>TRIAL- Diedffenbachia Moonlight- Balance</t>
  </si>
  <si>
    <t>TRIAL - Dracaena Black Kanzi- Balance</t>
  </si>
  <si>
    <t>Trial- Dracaena Dragontree dorado- Balance</t>
  </si>
  <si>
    <t>Trial- Dracaena Jade Jewel- Balance</t>
  </si>
  <si>
    <t>Trial- Dracaena Surprise- Balance</t>
  </si>
  <si>
    <t>Trial- Dracaena Urban Urchin™ (Malaika)- Balance</t>
  </si>
  <si>
    <t>Trial- Dracaena White Jewel- Balance</t>
  </si>
  <si>
    <t>TRIAL - Epipremnum Aureum Hot Needle - Balance</t>
  </si>
  <si>
    <t>TRIAL - Epipremnum Champs Elysees - Balance</t>
  </si>
  <si>
    <t>TRIAL- Epipremnum Gigantenum Variegated - Balance</t>
  </si>
  <si>
    <t>TRIAL - Epipremnum Manjula -  Balance</t>
  </si>
  <si>
    <t>TRIAL - Epipremnum Snow Leopard -  Balance</t>
  </si>
  <si>
    <t>TRIAL - Episcia Black Velvet - Balance</t>
  </si>
  <si>
    <t>Trial- Episcia Black Velvet on Climb-itt™ Trunk-  Balance</t>
  </si>
  <si>
    <t>TRIAL- Episcia Cleopatra- Balance</t>
  </si>
  <si>
    <t>Trial- Episcia Cleopatra on Climb-itt™ Trunk- Balance</t>
  </si>
  <si>
    <t>Trial- Episcia Country Brillance on Climb-itt™ Trunk-  Balance</t>
  </si>
  <si>
    <t>Trial- Episcia Joy Sweetie Pink on Climb-itt™ Trunk-  Balance</t>
  </si>
  <si>
    <t>Trial- Episcia Malayan Gem on Climb-itt™ Trunk- Balance</t>
  </si>
  <si>
    <t>TRIAL - Episcia Picasso - Balance</t>
  </si>
  <si>
    <t>Trial- Episcia Picasso on Climb-itt™ Trunk-  Balance</t>
  </si>
  <si>
    <t>TRIAL - Episcia Pink Acajou -  Balance</t>
  </si>
  <si>
    <t>Trial- Episcia Pink Acajou on Climb-itt™ Trunk- Balance</t>
  </si>
  <si>
    <t>TRIAL - Episcia Pink Panther- Balance</t>
  </si>
  <si>
    <t>Trial- Episcia Pink Panther on Climb-itt™ Trunk- Balance</t>
  </si>
  <si>
    <t>TRIAL- Episcia Pink Smoke-Balance</t>
  </si>
  <si>
    <t>TRIAL - Episcia Red Crocodile -  Balance</t>
  </si>
  <si>
    <t>Trial- Episcia Red Crocodile on Climb-itt™ Trunk- Balance</t>
  </si>
  <si>
    <t>TRIAL - Episcia Silver Shield -  Balance</t>
  </si>
  <si>
    <t>Trial- Episcia Silver Shield on Climb-itt™ Trunk- Balance</t>
  </si>
  <si>
    <t>TRIAL - Rumohra Variegata -Balance</t>
  </si>
  <si>
    <t>TRIAL - Adiantum Fritz Luthi -Balance</t>
  </si>
  <si>
    <t>TRIAL - Asplenium Antiquum Osaka - Balance</t>
  </si>
  <si>
    <t>Trial- Fern Asplenium Gioia- Balance</t>
  </si>
  <si>
    <t>TRIAL - Fern Asplenium Scolopendrium No 3 - Balance</t>
  </si>
  <si>
    <t>Trial- Fern Bronze Venus- Balance</t>
  </si>
  <si>
    <t>TRIAL - Microsorum Diversifolium - Balance</t>
  </si>
  <si>
    <t>Trial- Fern Nicolas Diamond- Balance</t>
  </si>
  <si>
    <t>TRIAL - Fern Nidus No. 1 - Balance</t>
  </si>
  <si>
    <t>TRIAL - Fern Nidus No. 2 - Balance</t>
  </si>
  <si>
    <t>TRIAL - Phyllitis Scolopendrium  - Balance</t>
  </si>
  <si>
    <t>TRIAL - Phyllitis Scolopendrium Undulata  - Balance</t>
  </si>
  <si>
    <t>TRIAL - Polystichum Densum -  Balance</t>
  </si>
  <si>
    <t>TRIAL - Polystichum Polyblepharum - Balance</t>
  </si>
  <si>
    <t>TRIAL - Pteris Albolineata - Balance</t>
  </si>
  <si>
    <t>TRIAL - Pteris Parkeri - Balance</t>
  </si>
  <si>
    <t>TRIAL- Fern Crocodyllus- Balance</t>
  </si>
  <si>
    <t>TRIAL- Fern Green Flame- Balance</t>
  </si>
  <si>
    <t>TRIAL - Ficus benjamina Monique - Balance</t>
  </si>
  <si>
    <t>TRIAL - Geogenanthus Ciliatus -  Balance</t>
  </si>
  <si>
    <t>TRIAL - Homalomena Black - Balance</t>
  </si>
  <si>
    <t>TRIAL - Homalomena Emerald Gem - Balance</t>
  </si>
  <si>
    <t>TRIAL - Homalomena Golden - Balance</t>
  </si>
  <si>
    <t>TRIAL - Homalomena Lasia Spinosa - Balance</t>
  </si>
  <si>
    <t>TRIAL - Homalomena Rubescens 200280 - Balance</t>
  </si>
  <si>
    <t>TRIAL - Homalomena Sunshine Gem - Balance</t>
  </si>
  <si>
    <t>TRIAL - Hoya Aff Vittelinea - Balance</t>
  </si>
  <si>
    <t>TRIAL - Hoya AH 074 - Balance</t>
  </si>
  <si>
    <t>TRIAL - Hoya Callistophylla Black Cat -  Balance</t>
  </si>
  <si>
    <t>TRIAL - Hoya Carnosa Chelsea -  Balance</t>
  </si>
  <si>
    <t>TRIAL - Hoya Cinnamomifolia - Balance</t>
  </si>
  <si>
    <t>TRIAL - Hoya Clemensiorum -  Balance</t>
  </si>
  <si>
    <t>Trial- Hoya Clemensiorum Short Leaf- Balance</t>
  </si>
  <si>
    <t>TRIAL - Hoya Clemensiorum Splash - Balance</t>
  </si>
  <si>
    <t>TRIAL - Hoya Clemensiorum Sumatra -  Balance</t>
  </si>
  <si>
    <t>TRIAL - Hoya Crassiopetiolata -  Balance</t>
  </si>
  <si>
    <t>TRIAL - Hoya Crassipetiolata Splash Round Leaf - Balance</t>
  </si>
  <si>
    <t>TRIAL - Hoya cv Larissa - Balance</t>
  </si>
  <si>
    <t>TRIAL - Hoya cv Michelle - Balance</t>
  </si>
  <si>
    <t>TRIAL - Hoya Erythrina - Balance</t>
  </si>
  <si>
    <t>TRIAL - Hoya Glabra Black Margin - Balance</t>
  </si>
  <si>
    <t>TRIAL - Hoya Glabra Gayo - Balance</t>
  </si>
  <si>
    <t>TRIAL - Hoya Gomas - Balance</t>
  </si>
  <si>
    <t>TRIAL - Hoya Kaikoeana SP Dahlia - Balance</t>
  </si>
  <si>
    <t>TRIAL - Hoya Kaikoena - Balance</t>
  </si>
  <si>
    <t>TRIAL - Hoya Krimson Queen - Balance</t>
  </si>
  <si>
    <t>TRIAL - Hoya Lacunosa Laos - Balance</t>
  </si>
  <si>
    <t>TRIAL - Hoya Macrophylla Groen - Balance</t>
  </si>
  <si>
    <t>TRIAL - Hoya Macrophylla Splash -  Balance</t>
  </si>
  <si>
    <t>TRIAL - Hoya Ranauensis Sp - Balance</t>
  </si>
  <si>
    <t>TRIAL- Hoya Ranauensis SP - Balance</t>
  </si>
  <si>
    <t>TRIAL - Hoya Red Maroon - Balance</t>
  </si>
  <si>
    <t>TRIAL - Hoya Retusa -  Balance</t>
  </si>
  <si>
    <t>TRIAL - Hoya Rindu Raflesia - Balance</t>
  </si>
  <si>
    <t>TRIAL - Hoya Rundumensis Splash - Balance</t>
  </si>
  <si>
    <t>TRIAL - Hoya Scortechinii -  Balance</t>
  </si>
  <si>
    <t>TRIAL - Hoya Scortechinii White -  Balance</t>
  </si>
  <si>
    <t>TRIAL - Hoya SP Aceh Balance</t>
  </si>
  <si>
    <t>TRIAL - Hoya SP Aceh 9 - Balance</t>
  </si>
  <si>
    <t>TRIAL - Hoya SP Gayo 8 - Balance</t>
  </si>
  <si>
    <t>TRIAL - Hoya SP Sulawesi 3 -  Balance</t>
  </si>
  <si>
    <t>TRIAL - Hoya SP Timor -  Balance</t>
  </si>
  <si>
    <t>TRIAL - Hoya SP Vietnam - Balance</t>
  </si>
  <si>
    <t>TRIAL - Hoya Sulawesiana - Balance</t>
  </si>
  <si>
    <t>TRIAL - Hoya Sumatra Tafel 7 - Balance</t>
  </si>
  <si>
    <t>TRIAL - Hoya Tanggamus - Balance</t>
  </si>
  <si>
    <t>TRIAL - Hoya Tanggamus Small Leaf - Balance</t>
  </si>
  <si>
    <t>TRIAL - Hoya Ternate - Balance</t>
  </si>
  <si>
    <t>TRIAL - Hoya Undulata - Balance</t>
  </si>
  <si>
    <t>TRIAL - Hoya Verticillata sp Lampung - Balance</t>
  </si>
  <si>
    <t>TRIAL - Hoya Verticillata sp Nganjuk - Balance</t>
  </si>
  <si>
    <t>TRIAL - Hoya Vilosa - Balance</t>
  </si>
  <si>
    <t>TRIAL - Hoya Vietnam 2 - Balance</t>
  </si>
  <si>
    <t>TRIAL - Hoya Wayang Splash - Balance</t>
  </si>
  <si>
    <t>TRIAL - Hoya Wayetii Green - Balance</t>
  </si>
  <si>
    <t>TRIAL - Hoya Waymaniae Kapuas - Balance</t>
  </si>
  <si>
    <t>TRIAL - Kaempferia Galanga Variegated - Balance</t>
  </si>
  <si>
    <t>TRIAL - Labisia Zebra - Balance</t>
  </si>
  <si>
    <t>TRIAL - Mangave Bad Hair Day - Balance</t>
  </si>
  <si>
    <t>TRIAL - Mangave Catch a Wave - Balance</t>
  </si>
  <si>
    <t>TRIAL - Mangave Night Owl -Balance</t>
  </si>
  <si>
    <t>TRIAL - Mangave Thunderbird - Balance</t>
  </si>
  <si>
    <t>TRIAL - Mangave Tooth Fairy - Balance</t>
  </si>
  <si>
    <t>TRIAL - Maranta Dark Green - Balance</t>
  </si>
  <si>
    <t>TRIAL - Maranta Fantasy - Balance</t>
  </si>
  <si>
    <t>TRIAL - Maranta Green - Balance</t>
  </si>
  <si>
    <t>TRIAL - Maranta Lemon- Balance</t>
  </si>
  <si>
    <t>TRIAL - Maranta Lemon Lime - Balance</t>
  </si>
  <si>
    <t>TRIAL - Maranta Leuconeura Erythrophylla -  Balance</t>
  </si>
  <si>
    <t>TRIAL - Maranta Leuconeura Kerchoveana - Balance</t>
  </si>
  <si>
    <t>Trial- Maranta Leuconeura Marsiele- Balance</t>
  </si>
  <si>
    <t>TRIAL - Maranta Leuconeura Massangeana -  Balance</t>
  </si>
  <si>
    <t>TRIAL - Maranta NOID Cat Mustache -  Balance</t>
  </si>
  <si>
    <t>TRIAL - Maranta Red - Balance</t>
  </si>
  <si>
    <t>TRIAL - Monstera Esqueleto -  Balance</t>
  </si>
  <si>
    <t>TRIAL - Musa Acuminata Red Ruby -  Balance</t>
  </si>
  <si>
    <t>TRIAL - Peperomia Clusifolia -  Balance</t>
  </si>
  <si>
    <t>TRIAL - Peperomia Clusifolia Variegated -  Balance</t>
  </si>
  <si>
    <t>TRIAL - Peperomia Crème Brulee Orange -  Balance</t>
  </si>
  <si>
    <t>TRIAL - Peperomia Raindrop -  Balance</t>
  </si>
  <si>
    <t>TRIAL - Peperomia Sarcophylla - Balance</t>
  </si>
  <si>
    <t>TRIAL- Philodendron Red Anderson- Balance</t>
  </si>
  <si>
    <t>TRIAL - Philodendron Birkin High Variegation -  Balance</t>
  </si>
  <si>
    <t>Trial- Philodendron Brazil on Climb-itt™ pole- Balance</t>
  </si>
  <si>
    <t>TRIAL - Philodendron Bronze - Balance</t>
  </si>
  <si>
    <t>Trial- Philodendron Burle Marx Fantasy on Climb-itt™ Pole- Balance</t>
  </si>
  <si>
    <t>TRIAL - Philodendron Campii -  Balance</t>
  </si>
  <si>
    <t>TRIAL - Philodendron Caramel Marble - Balance</t>
  </si>
  <si>
    <t>TRIAL - Philodendron Cherry Red - Balance</t>
  </si>
  <si>
    <t>TRIAL - Philodendron Corovadensis - Balance</t>
  </si>
  <si>
    <t>TRIAL - Philodendron Cream Splash - Balance</t>
  </si>
  <si>
    <t>TRIAL - Philodendron Florida Ghost - Balance</t>
  </si>
  <si>
    <t>TRIAL - Philodendron Gloriosum Variegated  - Balance</t>
  </si>
  <si>
    <t>TRIAL - Philodendron Golden Narrow -  Balance</t>
  </si>
  <si>
    <t>TRIAL - Philodendron Grote Ox - Balance</t>
  </si>
  <si>
    <t>TRIAL - Philodendron Imperial Red - Balance</t>
  </si>
  <si>
    <t>TRIAL - Philodendron Jungle Fever (reverted) - Balance</t>
  </si>
  <si>
    <t>TRIAL - Philodendron Jungle Fever variegated - Balance</t>
  </si>
  <si>
    <t>TRIAL - Philodendron Mars -Balance</t>
  </si>
  <si>
    <t>TRIAL - Philodendron Painted Lady - Balance</t>
  </si>
  <si>
    <t>TRIAL - Philodendron Pink Bikini -  Balance</t>
  </si>
  <si>
    <t>TRIAL - Philodendron Red Emerald - Balance</t>
  </si>
  <si>
    <t>TRIAL - Philodendron Rio - Balance</t>
  </si>
  <si>
    <t>TRIAL - Philodendron Snowdrift - Balance</t>
  </si>
  <si>
    <t>Trial- Philodendron Brazil on Climb-itt™ Arch- Balance</t>
  </si>
  <si>
    <t>Trial- Philodendron Splendid on Climb-itt™ pole- Balance</t>
  </si>
  <si>
    <t>Trial- Philondendron Green Congo Hybrid- Balance</t>
  </si>
  <si>
    <t>TRIAL - Piper Bright Eyes - Balance</t>
  </si>
  <si>
    <t>TRIAL - Piper Indonesia Green - Balance</t>
  </si>
  <si>
    <t>TRIAL - Piper Ribesioides -  Balance</t>
  </si>
  <si>
    <t>TRIAL - Piper SP Indonesia Silver - Balance</t>
  </si>
  <si>
    <t>TRIAL - Piper SP Kalimantan Watermelon - Balance</t>
  </si>
  <si>
    <t>TRIAL - Piper Sumatra - Balance</t>
  </si>
  <si>
    <t>TRIAL - Rademachera Sinica - Balance</t>
  </si>
  <si>
    <t>TRIAL- Saxifraga Tricolor-Balance</t>
  </si>
  <si>
    <t>TRIAL - Schismatoglottis Calyptrata - Balance</t>
  </si>
  <si>
    <t>TRIAL - Scindapsus Boreno 2 - Balance</t>
  </si>
  <si>
    <t>TRIAL - Scindapsus Green Anaconda - Balance</t>
  </si>
  <si>
    <t>TRIAL - Scindapsus Nangga Seni - Balance</t>
  </si>
  <si>
    <t>TRIAL- Scindapsus NR 14 - Balance</t>
  </si>
  <si>
    <t>TRIAL - Scindapsus Nearly Black - Balance</t>
  </si>
  <si>
    <t>TRIAL - Scindapsus Pictus Argyraeus - Balance</t>
  </si>
  <si>
    <t>TRIAL - Scindapsus Pictus Exotica - Balance</t>
  </si>
  <si>
    <t>TRIAL - Scindapsus Silver Hero - Balance</t>
  </si>
  <si>
    <t>TRIAL - Scindapsis Silver Lady - Balance</t>
  </si>
  <si>
    <t>TRIAL - Scindapsus Silver Philo - Balance</t>
  </si>
  <si>
    <t>TRIAL - Scindapsus Silver Platinum - Balance</t>
  </si>
  <si>
    <t>TRIAL - Scindapsus Silver Princess - Balance</t>
  </si>
  <si>
    <t>TRIAL - Scindapsus Silver Tattoo (NR 27) - Balance</t>
  </si>
  <si>
    <t>TRIAL - Scindapsus Snake Scale - Balance</t>
  </si>
  <si>
    <t>TRIAL - Scindapsus Sparkling Borneo - Balance</t>
  </si>
  <si>
    <t>TRIAL - Scindapsus Treubii Dark Form - Balance</t>
  </si>
  <si>
    <t>TRIAL - Scindapsis Treubii Kalinmantan - Balance</t>
  </si>
  <si>
    <t>TRIAL - Scindapsis Treubii Moonlight - Balance</t>
  </si>
  <si>
    <t>TRIAL - Scindapsis Tricolor - Balance</t>
  </si>
  <si>
    <t>TRIAL - Scindapsus Tricolor Silver (NR 4) - Balance</t>
  </si>
  <si>
    <t>TRIAL - Scindapsus Walet Sakti -  Balance</t>
  </si>
  <si>
    <t>Trial- Stromanthe Variegata- Balance</t>
  </si>
  <si>
    <t>TRIAL - Syngonium Frosted Heart - Balance</t>
  </si>
  <si>
    <t>TRIAL - Syngonium Mottled - Balance</t>
  </si>
  <si>
    <t>TRIAL - Syngonium Three Kings - Balance</t>
  </si>
  <si>
    <t>TRIAL - Syngonium White Albo - Balance</t>
  </si>
  <si>
    <t>TRIAL - Tradescantia Chrysophylla Baby Bunny Bellies Variegata - Balance</t>
  </si>
  <si>
    <t>TRIAL - Tradescantia Mundula Tricolor Varigata-Balance</t>
  </si>
  <si>
    <t>TRIAL - Tradescantia Pallidia- Balance</t>
  </si>
  <si>
    <t>TRIAL - Tradescantia Silamontana Varigated- Balance</t>
  </si>
  <si>
    <t>TRIAL - Tradescantia Silver - Balance</t>
  </si>
  <si>
    <t xml:space="preserve">TRIAL - Alocasia Macrorrhizos Camouflage Variegata/Odora Variegated Batik </t>
  </si>
  <si>
    <t>Trial- Philodendron Marble Pink- Balance</t>
  </si>
  <si>
    <t>8" - 12"</t>
  </si>
  <si>
    <t>Trial- Dracaena Janet Craig Compacta</t>
  </si>
  <si>
    <t>TRIAL - Primulina Pretty Turtle</t>
  </si>
  <si>
    <t>Trial- Philondendron White Wave Mini</t>
  </si>
  <si>
    <t>Trial- Philondendron Ivory Vein</t>
  </si>
  <si>
    <t>W 6"</t>
  </si>
  <si>
    <t>H 9" " W 12"</t>
  </si>
  <si>
    <t>TRIAL - Aglaonema DS-04</t>
  </si>
  <si>
    <t>TRIAL- Sansevieria Black Hahnii</t>
  </si>
  <si>
    <t>TRIAL- Sansevieria Golden Hahnii</t>
  </si>
  <si>
    <t>TRIAL- Sansevieria Green Hahnii</t>
  </si>
  <si>
    <t>TRIAL- Sansevieria Lotus Hahnii</t>
  </si>
  <si>
    <t>TRIAL- Sansevieria Snow Hahnii</t>
  </si>
  <si>
    <t>TRIAL- Sansevieria Superba Hahnii</t>
  </si>
  <si>
    <t>TRIAL- Sansevieria Whitney Hahnii</t>
  </si>
  <si>
    <t>Trial- Calathea C057</t>
  </si>
  <si>
    <t>Trial- Calathea C055</t>
  </si>
  <si>
    <t>TRIAL - Cercestis Mirabilis</t>
  </si>
  <si>
    <t>TRIAL - Fern 	Asplenium Scolopendrium Angustifolium</t>
  </si>
  <si>
    <t xml:space="preserve">TRIAL - Fern 	Asplenium Scolopendrium
	</t>
  </si>
  <si>
    <t xml:space="preserve">TRIAL - Dieffenbachia 	Tropic Marianne
	</t>
  </si>
  <si>
    <t xml:space="preserve">TRIAL - Philodendron 	Radiantum
	</t>
  </si>
  <si>
    <t xml:space="preserve">TRIAL - Philodendron	 Maxicanum on Climb-itt™ Pole
	</t>
  </si>
  <si>
    <t xml:space="preserve">TRIAL - Philodendron 	Columbia on Climb-itt™ Pole
	</t>
  </si>
  <si>
    <t>TRIAL - Cordyline Fruticosa Rainbow Green - 9</t>
  </si>
  <si>
    <t>TRIAL - Cordyline Fruticosa White Fairytale - 9</t>
  </si>
  <si>
    <t>TRIAL - Cordyline Fruticosa Waihee Rianbow - 9</t>
  </si>
  <si>
    <t>TRIAL - Cordyline Fruticosa Chocolate Queen - 9</t>
  </si>
  <si>
    <t>TRIAL - Cordyline Fruticosa Cherry Cordial Compacta - 9</t>
  </si>
  <si>
    <t>TRIAL- Cordyline Fruticosa Chocolate</t>
  </si>
  <si>
    <t>TRIAL- Cordyline Fruticosa Rainbow Green</t>
  </si>
  <si>
    <t>Cordyline Fruticosa Waihee Rainbow</t>
  </si>
  <si>
    <t>Cordyline Fruticosa White Fairytale</t>
  </si>
  <si>
    <t>TRIAL- Cordyline Cherry Cordial Compacta</t>
  </si>
  <si>
    <t>7"-11"</t>
  </si>
  <si>
    <t xml:space="preserve">8"-12" </t>
  </si>
  <si>
    <t>Trial- Saxifraga Tricolor</t>
  </si>
  <si>
    <t>8"-12"</t>
  </si>
  <si>
    <t>CLIMB-ITT™ COLLECTORS</t>
  </si>
  <si>
    <t>TRIAL- Rhaphidophora Puberula Varigated on Climb-itt™ Pole</t>
  </si>
  <si>
    <t>TRIAL-Philodendron Melanochrysum on Climb-itt™ Pole</t>
  </si>
  <si>
    <t>TRIAL- Syngonium Wendlandii Black Velvet on Climb-itt™ Pole</t>
  </si>
  <si>
    <t>TRIAL- Syngonium Frosted Heart on Climb-itt™ Pole</t>
  </si>
  <si>
    <t>TRIAL- Calathea C042</t>
  </si>
  <si>
    <t>TRIAL- Hoya Lacunosa Laos- Balance</t>
  </si>
  <si>
    <t>TRIAL- Sansevieria Black Hahnii- Balance</t>
  </si>
  <si>
    <t>TRIAL-Sanseveria Green Hahnii-  Balance</t>
  </si>
  <si>
    <t>TRIAL- Sansevieria Lotus Hahnii- Balance</t>
  </si>
  <si>
    <t>TRIAL- Sansevieria Snow Hahnii- Balance</t>
  </si>
  <si>
    <t>TRIAL- Sansevieria Superba Hahnii- Balance</t>
  </si>
  <si>
    <t>TRIAL- Sansevieria Whitney Hahnii-Balance</t>
  </si>
  <si>
    <t>Trial- Saxifraga Tricolor- Balance</t>
  </si>
  <si>
    <t>TRIAL - Cordyline Fruticosa Cherry Cordial Compacta - Balance</t>
  </si>
  <si>
    <t>TRIAL - Cordyline Fruticosa Chocolate Queen - Balance</t>
  </si>
  <si>
    <t>TRIAL - Cordyline Fruticosa Rainbow Green - Balance</t>
  </si>
  <si>
    <t>TRIAL - Cordyline Fruticosa Waihee Rianbow - Balance</t>
  </si>
  <si>
    <t>TRIAL - Cordyline Fruticosa White Fairytale - Balance</t>
  </si>
  <si>
    <t>TRIAL-Sanseveria Golden Hahnii- Balance</t>
  </si>
  <si>
    <t>Trial- Tradescantia Cerin Blanca- Balance</t>
  </si>
  <si>
    <t>TRIAL - Aglaonema DS-04 -  Balance</t>
  </si>
  <si>
    <t>Trial- Calathea C055- Balance</t>
  </si>
  <si>
    <t>Trial- Calathea C057- Balance</t>
  </si>
  <si>
    <t>TRIAL - Cercestis Mirabilis  - Balance</t>
  </si>
  <si>
    <t>Trial- Dracaena Janet Craig Compacta- Balance</t>
  </si>
  <si>
    <t>TRIAL - Fern Asplenium Scolopendrium Angustifolium - Balance</t>
  </si>
  <si>
    <t>TRIAL - Fern Asplenium Scolopendrium - Balance</t>
  </si>
  <si>
    <t>TRIAL-Philodendron Melanochrysum on Climb-itt™ Pole- Balance</t>
  </si>
  <si>
    <t>Trial- Philondendron White Wave Mini- Balance</t>
  </si>
  <si>
    <t>Trial- Philondendron Ivory Vein- Balance</t>
  </si>
  <si>
    <t>TRIAL - Primulina Pretty Turtle- Balance</t>
  </si>
  <si>
    <t>TRIAL- Rhaphidophora Puberula Varigated on Climb-itt™ Pole- Balance</t>
  </si>
  <si>
    <t>TRIAL- Syngonium Frosted Heart on Climb-itt™ Pole- Balance</t>
  </si>
  <si>
    <t>TRIAL- Syngonium Wendlandii Black Velvet on Climb-itt™ Pole- Balance</t>
  </si>
  <si>
    <t>TRIAL - Alocasia Branchifolia - Balance</t>
  </si>
  <si>
    <t>TRIAL- Dwarf Amazonica - Balance</t>
  </si>
  <si>
    <t>TRIAL - Alocasia Frydek Variegated -  Balance</t>
  </si>
  <si>
    <t>TRIAL - Alocasia Gageana Aurea Variegated -  Balance</t>
  </si>
  <si>
    <t>TRIAL - Alocasia Macrorrhizos Camouflage Variegata -  Balance</t>
  </si>
  <si>
    <t>TRIAL - Alocasia Nobilis - Balance</t>
  </si>
  <si>
    <t>TRIAL - Alocasia Odora Variegated Batik - Balance</t>
  </si>
  <si>
    <t>TRIAL - Alocasia Watsonia -  Balance</t>
  </si>
  <si>
    <t>TRIAL - Alocasia Watsonia White -  Balance</t>
  </si>
  <si>
    <t>TRIAL - Alocasia Zebrina LP - Balance</t>
  </si>
  <si>
    <t>TRIAL- Anthurium Clarinervium-  Balance</t>
  </si>
  <si>
    <t>TRIAL - Caladium Lindenii - Balance</t>
  </si>
  <si>
    <t>TRIAL- Calathea C042- Balance</t>
  </si>
  <si>
    <t>TRIAL- Calathea C049- Balance</t>
  </si>
  <si>
    <t>TRIAL - Calathea Illustris - Balance</t>
  </si>
  <si>
    <t>TRIAL - Calathea Peacock - Balance</t>
  </si>
  <si>
    <t>TRIAL - Calathea Picturata  Balance</t>
  </si>
  <si>
    <t>TRIAL - Calathea Royal Standard - Balance</t>
  </si>
  <si>
    <t>TRIAL - Dieffenbachia Tropic Marianne - Balance</t>
  </si>
  <si>
    <t>TRIAL- Dieffenbachia Camilla- Balance</t>
  </si>
  <si>
    <t>TRIAL - Dieffenbachia Marsha - Balance</t>
  </si>
  <si>
    <t>TRIAL - Dieffenbachia Snow - Balance</t>
  </si>
  <si>
    <t>TRIAL - Dieffenbachia Sublime -  Balance</t>
  </si>
  <si>
    <t>TRIAL - Dieffenbachia Tiki - Balance</t>
  </si>
  <si>
    <t>TRIAL - Ficus Aspera - Balance</t>
  </si>
  <si>
    <t>TRIAL- Lyrata Bambino- Balance</t>
  </si>
  <si>
    <t>TRIAL- Ficus Petiolaris- Balance</t>
  </si>
  <si>
    <t>TRIAL - Homalomena Emerald Gem -  Balance</t>
  </si>
  <si>
    <t>TRIAL - Homalomena Emerald Green - Balance</t>
  </si>
  <si>
    <t>TRIAL-Homalomena KT Green-Balance</t>
  </si>
  <si>
    <t>TRIAL - Homalomena Lindenii - Balance</t>
  </si>
  <si>
    <t>TRIAL - Homalomena Mint Variegated - Balance</t>
  </si>
  <si>
    <t>TRIAL - Homalomena Rubesence Red -  Balance</t>
  </si>
  <si>
    <t>TRIAL - Homalomena Sunshine Gem -  Balance</t>
  </si>
  <si>
    <t>TRIAL - Homalomena Tropical Green - Balance</t>
  </si>
  <si>
    <t>TRIAL - Homalomena Variegated - Balance</t>
  </si>
  <si>
    <t>TRIAL - Homalomena Wallisii Emerald Gem - Balance</t>
  </si>
  <si>
    <t>Trial- Monstera Acuminata on Climb-itt™ pole- Balance</t>
  </si>
  <si>
    <t>TRIAL - Monstera Burle Marx's Flame -  Balance</t>
  </si>
  <si>
    <t>TRIAL - Monstera deliciosa Aurea - Balance</t>
  </si>
  <si>
    <t>TRIAL - Monstera Deliciosa Tauerii - Balance</t>
  </si>
  <si>
    <t>TRIAL - Monstera Mint Variegated - Balance</t>
  </si>
  <si>
    <t>TRIAL - Monstera Monisha® - Balance</t>
  </si>
  <si>
    <t>TRIAL - Monstera Monisha® (w/ Kratiste pole) - Balance</t>
  </si>
  <si>
    <t>TRIAL - Monstera Siltepecana on moss pole - Balance</t>
  </si>
  <si>
    <t>TRIAL - Musa Acuminata Dwarf King - Balance</t>
  </si>
  <si>
    <t>TRIAL - Musa Acuminata Red Ruby - Balance</t>
  </si>
  <si>
    <t>TRIAL - Philodendron Angela - Balance</t>
  </si>
  <si>
    <t>TRIAL - Philodendron Asperatum - Balance</t>
  </si>
  <si>
    <t>TRIAL - Philodendron Bipennifolium x Pedatum -  Balance</t>
  </si>
  <si>
    <t>TRIAL - Philodendron Brandtianum on Climb-itt™ pole (narrow 26") -  Balance</t>
  </si>
  <si>
    <t>TRIAL - Philodendron Brazil on Climb-itt™ pole (wide 26") - Balance</t>
  </si>
  <si>
    <t>TRIAL - Philodendron Brazil on moss pole - Balance</t>
  </si>
  <si>
    <t>TRIAL - Philodendron Burle Marx - Balance</t>
  </si>
  <si>
    <t>TRIAL - Philodendron Burle Marx Green - Balance</t>
  </si>
  <si>
    <t>TRIAL - Philodendron Burle Marx Reversion - Balance</t>
  </si>
  <si>
    <t>TRIAL - Philodendron Campii - Balance</t>
  </si>
  <si>
    <t>TRIAL - Philodendron Camposportoanum on moss pole -  Balance</t>
  </si>
  <si>
    <t>TRIAL - Philodendron Colombia - Balance</t>
  </si>
  <si>
    <t>TRIAL - Philodendron Columbia on Climb-itt™ Pole - Balance</t>
  </si>
  <si>
    <t xml:space="preserve">TRIAL - Philodendron Corccovadensis - Balance </t>
  </si>
  <si>
    <t>TRIAL - Philodendron Cream Splash on Climb-itt™ pole (narrow 18") - Balance</t>
  </si>
  <si>
    <t>TRIAL - Philodendron Cream Splash on Climb-itt™ pole (wide 26") - Balance</t>
  </si>
  <si>
    <t>TRIAL - Philodendron Distantilobum - Balance</t>
  </si>
  <si>
    <t>TRIAL - Philodendron Elegans on Moss Pole - Balance</t>
  </si>
  <si>
    <t>TRIAL - Philodendron Enscubens No 1 -Balance</t>
  </si>
  <si>
    <t>TRIAL - Philodendron Fibrecataphyllum on moss pole - Balance</t>
  </si>
  <si>
    <t>TRIAL - Philodendron Florida Beauty - Balance</t>
  </si>
  <si>
    <t>TRIAL - Philodendron Florida Bronze - Balance</t>
  </si>
  <si>
    <t>Trial- Philodendron Fozzie™ (Fuzzy Petiole) on Climb-itt™ pole- Balance</t>
  </si>
  <si>
    <t>Trial- Philodendron Gigantenum Variegated- Balance</t>
  </si>
  <si>
    <t>TRIAL - Philodendron Giganteum Blizzard -Balance</t>
  </si>
  <si>
    <t>TRIAL - Philodendron Gloriosum Variegated - Balance</t>
  </si>
  <si>
    <t>TRIAL - Philodendron Glorius on moss pole - Balance</t>
  </si>
  <si>
    <t>TRIAL - Philodendron Goeldii- Balance</t>
  </si>
  <si>
    <t>TRIAL - Philodendron Grandipes - Balance</t>
  </si>
  <si>
    <t>TRIAL - Philodendron Grazilae on moss pole - Balance</t>
  </si>
  <si>
    <t>TRIAL - Philodendron Green Wonder - Balance</t>
  </si>
  <si>
    <t>TRIAL - Philodendron Holtanianum on moss pole - Balance</t>
  </si>
  <si>
    <t>TRIAL - Philodendron Hybrid Cherry Red - Balance</t>
  </si>
  <si>
    <t>TRIAL - Philodendron Imbo Variegata - Balance</t>
  </si>
  <si>
    <t>TRIAL - Philodendron Jose Buono -  Balance</t>
  </si>
  <si>
    <t>TRIAL - Philodendron Jungle Fever (reverted) -  Balance</t>
  </si>
  <si>
    <t>TRIAL - Philodendron Linnaei -Balance</t>
  </si>
  <si>
    <t>TRIAL - Philodendron Lupinum on moss pole - Balance</t>
  </si>
  <si>
    <t>TRIAL - Philodendron Maxicanum on Climb-itt™ Pole - Balance</t>
  </si>
  <si>
    <t>TRIAL - Philodendron Melanochrysum on moss pole -  Balance</t>
  </si>
  <si>
    <t>TRIAL - Philodendron Neon on moss pole - Balance</t>
  </si>
  <si>
    <t>TRIAL - Philodendron Painted Lady -Balance</t>
  </si>
  <si>
    <t>TRIAL - Philodendron Paraiso Reverse - Balance</t>
  </si>
  <si>
    <t>TRIAL - Philodendron Paraiso Verde -  Balance</t>
  </si>
  <si>
    <t>Trial- Philodendron Pastazanum Silver x Plowmanni on Climb-itt™ pole- Balance</t>
  </si>
  <si>
    <t>TRIAL - Philodendron Pedulatum - Balance</t>
  </si>
  <si>
    <t>TRIAL - Philodendron Querciformis - Balance</t>
  </si>
  <si>
    <t>TRIAL - Philodendron Radiantum - Balance</t>
  </si>
  <si>
    <t>TRIAL - Philodendron Rio on Climb-itt™ pole (narrow 18") - Balance</t>
  </si>
  <si>
    <t>TRIAL - Philodendron Rio on Climb-itt™ pole (narrow 26") - Balance</t>
  </si>
  <si>
    <t>TRIAL - Philodendron Rudolph - Balance</t>
  </si>
  <si>
    <t>TRIAL - Philodendron Rugapetiotalem -Balance</t>
  </si>
  <si>
    <t>TRIAL - Philodendron Rugosum - Balance</t>
  </si>
  <si>
    <t>TRIAL - Philodendron Rugosum Aberant - Balance</t>
  </si>
  <si>
    <t>TRIAL - Philodendron Squamicaule - Balance</t>
  </si>
  <si>
    <t>TRIAL - Philodendron Subhastatum - Balance</t>
  </si>
  <si>
    <t>TRIAL - Philodendron Verrucosum on moss pole   - Balance</t>
  </si>
  <si>
    <t>TRIAL - Philodendron Warscewiczii Green - Balance</t>
  </si>
  <si>
    <t xml:space="preserve">TRIAL - Schismatoglottis Batem - Balance </t>
  </si>
  <si>
    <t>TRIAL - Scindapsus Nearly Black -  Balance</t>
  </si>
  <si>
    <t>TRIAL - Xanthosoma Jungle Bush -Balance</t>
  </si>
  <si>
    <t>TRIAL - Xanthosoma Lindenii - Balance</t>
  </si>
  <si>
    <t>TRIAL - Yucca Elephantipes Argenta Blaze -Balance</t>
  </si>
  <si>
    <t>TRIAL - Yucca Elephantipes Silver - Balance</t>
  </si>
  <si>
    <t>Dracaena Banacle Lemon Surprise</t>
  </si>
  <si>
    <t>Box Count:</t>
  </si>
  <si>
    <t>Total Estimated Pallets:</t>
  </si>
  <si>
    <t>Case Count:</t>
  </si>
  <si>
    <t>Add- on Case Total:</t>
  </si>
  <si>
    <t>leafjoy littles™</t>
  </si>
  <si>
    <t>leafjoy H2O®</t>
  </si>
  <si>
    <t>Total Pallets:</t>
  </si>
  <si>
    <t>12cm Hanging Baskets</t>
  </si>
  <si>
    <t>leafjoy littles™  9cm - 24 units per case</t>
  </si>
  <si>
    <t>Min Table</t>
  </si>
  <si>
    <t>size</t>
  </si>
  <si>
    <t>min qty</t>
  </si>
  <si>
    <t>qty</t>
  </si>
  <si>
    <t>show?</t>
  </si>
  <si>
    <t>Total Cases:</t>
  </si>
  <si>
    <t>Available in any Quantity!</t>
  </si>
  <si>
    <t>TRIAL - Monstera Mint Variegated -NEW PRICE</t>
  </si>
  <si>
    <t xml:space="preserve">12cm - 12 units per case                                   </t>
  </si>
  <si>
    <t>Trial- Tradescantia Continental Group Unicorn</t>
  </si>
  <si>
    <t xml:space="preserve">TRIAL - Monstera Siltepecana on Climb-itt™ Pole </t>
  </si>
  <si>
    <t xml:space="preserve">Available to order in any quantity! </t>
  </si>
  <si>
    <t xml:space="preserve">17cm - 6 units per case       </t>
  </si>
  <si>
    <t xml:space="preserve">Split Cases in Qty of 3 &amp; 3                                           </t>
  </si>
  <si>
    <t xml:space="preserve">Split cases in Qty of 6 &amp; 6 </t>
  </si>
  <si>
    <t xml:space="preserve"> Split cases 12 and 12, Cache Pot cases will be split 8 and 8 </t>
  </si>
  <si>
    <t xml:space="preserve">Add a cache pot for an additional $2.10 per plant! </t>
  </si>
  <si>
    <t xml:space="preserve"> Add a cache pot for an additional $2.10 per plant!                            </t>
  </si>
  <si>
    <r>
      <t xml:space="preserve">9cm Trial Availability </t>
    </r>
    <r>
      <rPr>
        <b/>
        <sz val="14"/>
        <color theme="1"/>
        <rFont val="Aptos Serif"/>
        <family val="1"/>
      </rPr>
      <t>(Trial Tag included)</t>
    </r>
  </si>
  <si>
    <r>
      <t>12cm Trial Availability</t>
    </r>
    <r>
      <rPr>
        <b/>
        <sz val="18"/>
        <color theme="1"/>
        <rFont val="Aptos Serif"/>
        <family val="1"/>
      </rPr>
      <t xml:space="preserve"> (Trial Tag included)</t>
    </r>
  </si>
  <si>
    <r>
      <t xml:space="preserve">17cm Trial Availability </t>
    </r>
    <r>
      <rPr>
        <b/>
        <sz val="16"/>
        <color theme="1"/>
        <rFont val="Aptos Serif"/>
        <family val="1"/>
      </rPr>
      <t>(Trial Tag included)</t>
    </r>
  </si>
  <si>
    <t>Split Cases in Qty of 3 &amp; 3</t>
  </si>
  <si>
    <t>Split cases in Qty of 6 &amp; 6</t>
  </si>
  <si>
    <t>TRIAL - Fern Microsorum Punctatum Dragon's Wing</t>
  </si>
  <si>
    <t>TRIAL - Dieffenbachia  Seguine Wilsons's Delight</t>
  </si>
  <si>
    <t>TRIAL - Epipremnum Cebu Blue on Climb-itt™ Pole</t>
  </si>
  <si>
    <t>TRIAL - Epipremnum Golden Glen™ on Climb-itt™ Pole</t>
  </si>
  <si>
    <t>TRIAL - Alocasia Dwarf Amazonica Variegated</t>
  </si>
  <si>
    <t>TRIAL- Tradescantia Zononia Mexican Flag Varigated</t>
  </si>
  <si>
    <t>TRIAL- Monstera lechleriana</t>
  </si>
  <si>
    <t>TRIAL- Calathea Princess Black Rose</t>
  </si>
  <si>
    <t>TRIAL- Calathea Bella</t>
  </si>
  <si>
    <t>Trial- Amydrium Medium Silver on Climb-itt™ Plank</t>
  </si>
  <si>
    <t xml:space="preserve">TTRIAL- Dieffenbachia White Blizzard
	</t>
  </si>
  <si>
    <t xml:space="preserve">TRIAL- Tradescantia Zononia Mexican Flag Varigated
	</t>
  </si>
  <si>
    <t xml:space="preserve">TRIAL- Calathea Veitchiana
	</t>
  </si>
  <si>
    <t xml:space="preserve">TRIAL- Calathea Medallion V2
	</t>
  </si>
  <si>
    <t>TRIAL - Schismatoglottis Batem</t>
  </si>
  <si>
    <t>Trial-Philodendron Rio on Climb-itt™ pole</t>
  </si>
  <si>
    <t>Trial- Farfugium Japonicum Aureomaculatum</t>
  </si>
  <si>
    <t>Trial- Fern Hawaiian Laua'e Climb-itt™ Trunk</t>
  </si>
  <si>
    <t>TRIAL - Fern Dryopteris Dickensii Crispa</t>
  </si>
  <si>
    <t>Hoya Night Sparrow™ (Clemensiorum Dark Leaf) ⚠️Very Low QTY!</t>
  </si>
  <si>
    <t>Apoballis Opulence™ (Red Sword) ⚠️Very Low QTY!</t>
  </si>
  <si>
    <t>Philodendron Electric Eel™ (Joepii)  ⚠️Very Low QTY!</t>
  </si>
  <si>
    <t>Ficus Happiness™ (Joy) ⚠️Very Low QTY!</t>
  </si>
  <si>
    <t>Alocasia Blackout™ (Zebrina Black) ⚠️Very Low QTY!</t>
  </si>
  <si>
    <t>TRIAL - Calathea Fusion White  ⚠️Very Low QTY!</t>
  </si>
  <si>
    <t>Trial- Hoya Clemensiorum Short Leaf ⚠️Very Low QTY!</t>
  </si>
  <si>
    <t>Trial- Philodendron Splendid on Climb-itt™ pole ⚠️Very Low QTY!</t>
  </si>
  <si>
    <t>TRIAL- Philodendron Brazil on Climb-itt™ Arch ⚠️Very Low QTY!</t>
  </si>
  <si>
    <t>TRIAL - Scindapsus Green Anaconda  ⚠️Very Low QTY!</t>
  </si>
  <si>
    <t>TRIAL- Calathea C049⚠️Very Low QTY!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</si>
</sst>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</numFmts>
  <fonts count="74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ptos Serif"/>
      <family val="1"/>
    </font>
    <font>
      <b/>
      <sz val="16"/>
      <color theme="1"/>
      <name val="Aptos Serif"/>
      <family val="1"/>
    </font>
    <font>
      <b/>
      <sz val="24"/>
      <color theme="9" tint="-0.249977111117893"/>
      <name val="Aptos Serif"/>
      <family val="1"/>
    </font>
    <font>
      <b/>
      <sz val="18"/>
      <color theme="1" tint="4.9989318521683403E-2"/>
      <name val="Aptos Serif"/>
      <family val="1"/>
    </font>
    <font>
      <b/>
      <sz val="22"/>
      <color rgb="FF000000"/>
      <name val="Aptos Serif"/>
      <family val="1"/>
    </font>
    <font>
      <b/>
      <sz val="11"/>
      <color theme="1"/>
      <name val="Aptos Serif"/>
      <family val="1"/>
    </font>
    <font>
      <b/>
      <sz val="14"/>
      <color rgb="FF000000"/>
      <name val="Aptos Serif"/>
      <family val="1"/>
    </font>
    <font>
      <b/>
      <u/>
      <sz val="14"/>
      <color rgb="FF000000"/>
      <name val="Aptos Serif"/>
      <family val="1"/>
    </font>
    <font>
      <b/>
      <sz val="12"/>
      <color rgb="FFFF0000"/>
      <name val="Aptos Serif"/>
      <family val="1"/>
    </font>
    <font>
      <b/>
      <sz val="26"/>
      <color theme="1"/>
      <name val="Aptos Serif"/>
      <family val="1"/>
    </font>
    <font>
      <b/>
      <sz val="14"/>
      <color theme="1"/>
      <name val="Aptos Serif"/>
      <family val="1"/>
    </font>
    <font>
      <b/>
      <i/>
      <sz val="14"/>
      <name val="Aptos Serif"/>
      <family val="1"/>
    </font>
    <font>
      <b/>
      <sz val="20"/>
      <color theme="1"/>
      <name val="Aptos Serif"/>
      <family val="1"/>
    </font>
    <font>
      <b/>
      <sz val="36"/>
      <color rgb="FFFF0000"/>
      <name val="Aptos Serif"/>
      <family val="1"/>
    </font>
    <font>
      <b/>
      <sz val="11"/>
      <color rgb="FF000000"/>
      <name val="Aptos Serif"/>
      <family val="1"/>
    </font>
    <font>
      <b/>
      <sz val="14"/>
      <name val="Aptos Serif"/>
      <family val="1"/>
    </font>
    <font>
      <b/>
      <sz val="26"/>
      <color rgb="FFFF0066"/>
      <name val="Aptos Serif"/>
      <family val="1"/>
    </font>
    <font>
      <b/>
      <sz val="26"/>
      <name val="Aptos Serif"/>
      <family val="1"/>
    </font>
    <font>
      <b/>
      <sz val="22"/>
      <color theme="1"/>
      <name val="Aptos Serif"/>
      <family val="1"/>
    </font>
    <font>
      <b/>
      <sz val="18"/>
      <color rgb="FF000000"/>
      <name val="Aptos Serif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Aptos Serif"/>
      <family val="1"/>
    </font>
    <font>
      <b/>
      <sz val="16"/>
      <color theme="1"/>
      <name val="Georgia"/>
      <family val="1"/>
    </font>
    <font>
      <b/>
      <sz val="12"/>
      <color theme="1"/>
      <name val="Georgia"/>
      <family val="1"/>
    </font>
    <font>
      <b/>
      <sz val="24"/>
      <color theme="9" tint="-0.499984740745262"/>
      <name val="Aptos Serif"/>
      <family val="1"/>
    </font>
    <font>
      <b/>
      <sz val="14"/>
      <color theme="9" tint="-0.499984740745262"/>
      <name val="Aptos Serif"/>
      <family val="1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2"/>
      <color theme="1"/>
      <name val="Aptos Serif"/>
      <family val="1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8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6"/>
      <color theme="1"/>
      <name val="Segoe UI"/>
      <family val="2"/>
    </font>
    <font>
      <b/>
      <sz val="20"/>
      <color rgb="FF000000"/>
      <name val="Calibri"/>
      <family val="2"/>
      <scheme val="minor"/>
    </font>
    <font>
      <b/>
      <sz val="28"/>
      <color theme="0"/>
      <name val="Georgia"/>
      <family val="1"/>
    </font>
    <font>
      <b/>
      <sz val="10"/>
      <color theme="1"/>
      <name val="Aptos Serif"/>
      <family val="1"/>
    </font>
    <font>
      <b/>
      <sz val="16"/>
      <color rgb="FF000000"/>
      <name val="Aptos Serif"/>
      <family val="1"/>
    </font>
    <font>
      <b/>
      <sz val="16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9" tint="-0.249977111117893"/>
      <name val="Aptos Serif"/>
      <family val="1"/>
    </font>
    <font>
      <sz val="18"/>
      <color theme="1"/>
      <name val="Quire Sans"/>
      <family val="2"/>
    </font>
    <font>
      <b/>
      <sz val="11"/>
      <color theme="9" tint="-0.249977111117893"/>
      <name val="Aptos Serif"/>
      <family val="1"/>
    </font>
    <font>
      <b/>
      <sz val="9"/>
      <color theme="9" tint="-0.249977111117893"/>
      <name val="Aptos Serif"/>
      <family val="1"/>
    </font>
    <font>
      <i/>
      <sz val="14"/>
      <color theme="1"/>
      <name val="Georgia"/>
      <family val="1"/>
    </font>
    <font>
      <sz val="11"/>
      <name val="Calibri"/>
      <family val="2"/>
    </font>
    <font>
      <sz val="11"/>
      <color rgb="FF000000"/>
      <name val="Aptos Serif"/>
      <family val="1"/>
    </font>
    <font>
      <b/>
      <sz val="28"/>
      <color rgb="FF000000"/>
      <name val="Calibri"/>
      <family val="2"/>
      <scheme val="minor"/>
    </font>
    <font>
      <b/>
      <sz val="36"/>
      <color theme="0"/>
      <name val="Georgia"/>
      <family val="1"/>
    </font>
    <font>
      <b/>
      <sz val="14"/>
      <color rgb="FFFF0000"/>
      <name val="Calibri"/>
      <family val="2"/>
      <scheme val="minor"/>
    </font>
    <font>
      <b/>
      <sz val="24"/>
      <color theme="9" tint="-0.499984740745262"/>
      <name val="Georgia"/>
      <family val="1"/>
    </font>
    <font>
      <b/>
      <sz val="14"/>
      <color theme="1"/>
      <name val="Georgia"/>
      <family val="1"/>
    </font>
    <font>
      <b/>
      <sz val="20"/>
      <color rgb="FF4F763D"/>
      <name val="Georgia"/>
      <family val="1"/>
    </font>
    <font>
      <b/>
      <i/>
      <sz val="20"/>
      <color rgb="FF4F763D"/>
      <name val="Georgia"/>
      <family val="1"/>
    </font>
    <font>
      <b/>
      <sz val="18"/>
      <color rgb="FF000000"/>
      <name val="Georgia"/>
      <family val="1"/>
    </font>
    <font>
      <b/>
      <sz val="14"/>
      <color theme="1"/>
      <name val="Segoe UI"/>
      <family val="2"/>
    </font>
    <font>
      <b/>
      <sz val="26"/>
      <color rgb="FF000000"/>
      <name val="Aptos Serif"/>
      <family val="1"/>
    </font>
    <font>
      <sz val="24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4"/>
      <color theme="1"/>
      <name val="Aptos Serif"/>
      <family val="1"/>
    </font>
    <font>
      <b/>
      <sz val="20"/>
      <color rgb="FF000000"/>
      <name val="Georgia"/>
      <family val="1"/>
    </font>
    <font>
      <b/>
      <sz val="22"/>
      <color rgb="FF0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name val="Aptos Serif"/>
      <family val="1"/>
    </font>
    <font>
      <b/>
      <sz val="22"/>
      <color theme="1" tint="4.9989318521683403E-2"/>
      <name val="Aptos"/>
      <family val="2"/>
    </font>
    <font>
      <b/>
      <sz val="22"/>
      <color theme="1"/>
      <name val="Aptos"/>
      <family val="2"/>
    </font>
  </fonts>
  <fills count="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BAA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0E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F763D"/>
        <bgColor indexed="64"/>
      </patternFill>
    </fill>
    <fill>
      <patternFill patternType="solid">
        <fgColor rgb="FFD6E7CF"/>
        <bgColor indexed="64"/>
      </patternFill>
    </fill>
    <fill>
      <patternFill patternType="solid">
        <fgColor rgb="FFA1C69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5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53">
    <xf numFmtId="0" fontId="0" fillId="0" borderId="0" xfId="0"/>
    <xf numFmtId="0" fontId="34" fillId="8" borderId="1" xfId="0" applyFont="1" applyFill="1" applyBorder="1" applyAlignment="1" applyProtection="1">
      <alignment horizontal="center"/>
      <protection locked="0"/>
    </xf>
    <xf numFmtId="0" fontId="34" fillId="4" borderId="1" xfId="0" applyFont="1" applyFill="1" applyBorder="1" applyAlignment="1" applyProtection="1">
      <alignment horizontal="center"/>
      <protection locked="0"/>
    </xf>
    <xf numFmtId="0" fontId="34" fillId="8" borderId="9" xfId="0" applyFont="1" applyFill="1" applyBorder="1" applyAlignment="1" applyProtection="1">
      <alignment horizontal="center" wrapText="1"/>
      <protection locked="0"/>
    </xf>
    <xf numFmtId="0" fontId="32" fillId="0" borderId="13" xfId="0" applyFont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" fontId="34" fillId="4" borderId="1" xfId="0" applyNumberFormat="1" applyFont="1" applyFill="1" applyBorder="1" applyAlignment="1" applyProtection="1">
      <alignment horizontal="center" wrapText="1"/>
      <protection locked="0"/>
    </xf>
    <xf numFmtId="164" fontId="34" fillId="0" borderId="1" xfId="3" applyNumberFormat="1" applyFont="1" applyBorder="1" applyAlignment="1" applyProtection="1">
      <alignment horizontal="center"/>
    </xf>
    <xf numFmtId="44" fontId="34" fillId="5" borderId="1" xfId="3" applyFont="1" applyFill="1" applyBorder="1" applyAlignment="1" applyProtection="1">
      <alignment horizontal="center"/>
    </xf>
    <xf numFmtId="44" fontId="34" fillId="5" borderId="4" xfId="3" applyFont="1" applyFill="1" applyBorder="1" applyAlignment="1" applyProtection="1">
      <alignment horizontal="center"/>
    </xf>
    <xf numFmtId="0" fontId="9" fillId="0" borderId="0" xfId="0" applyFont="1"/>
    <xf numFmtId="164" fontId="30" fillId="3" borderId="13" xfId="0" applyNumberFormat="1" applyFont="1" applyFill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9" fillId="0" borderId="11" xfId="0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/>
    <xf numFmtId="0" fontId="9" fillId="0" borderId="0" xfId="0" applyFont="1" applyAlignment="1">
      <alignment horizontal="center"/>
    </xf>
    <xf numFmtId="0" fontId="23" fillId="3" borderId="11" xfId="0" applyFont="1" applyFill="1" applyBorder="1" applyAlignment="1">
      <alignment vertical="center"/>
    </xf>
    <xf numFmtId="164" fontId="37" fillId="5" borderId="23" xfId="0" applyNumberFormat="1" applyFont="1" applyFill="1" applyBorder="1" applyAlignment="1">
      <alignment horizontal="right" vertical="top"/>
    </xf>
    <xf numFmtId="164" fontId="34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164" fontId="37" fillId="5" borderId="22" xfId="0" applyNumberFormat="1" applyFont="1" applyFill="1" applyBorder="1" applyAlignment="1">
      <alignment horizontal="right" vertical="top"/>
    </xf>
    <xf numFmtId="8" fontId="4" fillId="3" borderId="28" xfId="0" applyNumberFormat="1" applyFont="1" applyFill="1" applyBorder="1" applyAlignment="1">
      <alignment horizontal="center" wrapText="1"/>
    </xf>
    <xf numFmtId="8" fontId="30" fillId="3" borderId="28" xfId="0" applyNumberFormat="1" applyFont="1" applyFill="1" applyBorder="1" applyAlignment="1">
      <alignment horizontal="center"/>
    </xf>
    <xf numFmtId="0" fontId="9" fillId="0" borderId="0" xfId="0" applyFont="1" applyAlignment="1">
      <alignment wrapText="1"/>
    </xf>
    <xf numFmtId="0" fontId="4" fillId="0" borderId="28" xfId="2" applyFont="1" applyBorder="1" applyAlignment="1">
      <alignment horizontal="center"/>
    </xf>
    <xf numFmtId="0" fontId="4" fillId="3" borderId="28" xfId="0" applyFont="1" applyFill="1" applyBorder="1" applyAlignment="1">
      <alignment horizontal="center"/>
    </xf>
    <xf numFmtId="0" fontId="9" fillId="3" borderId="28" xfId="0" applyFont="1" applyFill="1" applyBorder="1" applyAlignment="1">
      <alignment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0" borderId="0" xfId="0" applyFont="1"/>
    <xf numFmtId="164" fontId="30" fillId="0" borderId="28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28" xfId="0" applyFont="1" applyBorder="1" applyAlignment="1">
      <alignment vertical="center"/>
    </xf>
    <xf numFmtId="8" fontId="4" fillId="0" borderId="28" xfId="0" applyNumberFormat="1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8" fontId="35" fillId="0" borderId="1" xfId="0" applyNumberFormat="1" applyFont="1" applyBorder="1" applyAlignment="1">
      <alignment horizontal="center"/>
    </xf>
    <xf numFmtId="8" fontId="35" fillId="0" borderId="4" xfId="0" applyNumberFormat="1" applyFont="1" applyBorder="1" applyAlignment="1">
      <alignment horizontal="center"/>
    </xf>
    <xf numFmtId="0" fontId="35" fillId="0" borderId="5" xfId="0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vertical="center"/>
    </xf>
    <xf numFmtId="8" fontId="34" fillId="0" borderId="1" xfId="0" applyNumberFormat="1" applyFont="1" applyBorder="1" applyAlignment="1">
      <alignment horizontal="center" wrapText="1"/>
    </xf>
    <xf numFmtId="0" fontId="34" fillId="0" borderId="9" xfId="0" applyFont="1" applyBorder="1" applyAlignment="1">
      <alignment horizontal="center" wrapText="1"/>
    </xf>
    <xf numFmtId="8" fontId="34" fillId="0" borderId="1" xfId="0" applyNumberFormat="1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164" fontId="35" fillId="0" borderId="5" xfId="0" applyNumberFormat="1" applyFont="1" applyBorder="1" applyAlignment="1">
      <alignment horizontal="center"/>
    </xf>
    <xf numFmtId="0" fontId="29" fillId="0" borderId="2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wrapText="1"/>
    </xf>
    <xf numFmtId="164" fontId="10" fillId="0" borderId="28" xfId="0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wrapText="1"/>
    </xf>
    <xf numFmtId="0" fontId="4" fillId="0" borderId="28" xfId="0" applyFont="1" applyBorder="1" applyAlignment="1">
      <alignment wrapText="1"/>
    </xf>
    <xf numFmtId="0" fontId="10" fillId="0" borderId="28" xfId="0" applyFont="1" applyBorder="1" applyAlignment="1">
      <alignment vertical="center"/>
    </xf>
    <xf numFmtId="0" fontId="31" fillId="0" borderId="28" xfId="0" applyFont="1" applyBorder="1" applyAlignment="1">
      <alignment vertical="center"/>
    </xf>
    <xf numFmtId="0" fontId="10" fillId="6" borderId="7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left"/>
    </xf>
    <xf numFmtId="0" fontId="9" fillId="11" borderId="9" xfId="0" applyFont="1" applyFill="1" applyBorder="1" applyAlignment="1">
      <alignment horizontal="center"/>
    </xf>
    <xf numFmtId="0" fontId="49" fillId="11" borderId="3" xfId="0" applyFont="1" applyFill="1" applyBorder="1" applyAlignment="1">
      <alignment horizontal="left"/>
    </xf>
    <xf numFmtId="0" fontId="10" fillId="11" borderId="3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wrapText="1"/>
    </xf>
    <xf numFmtId="0" fontId="4" fillId="11" borderId="36" xfId="0" applyFont="1" applyFill="1" applyBorder="1" applyAlignment="1">
      <alignment wrapText="1"/>
    </xf>
    <xf numFmtId="0" fontId="9" fillId="3" borderId="0" xfId="0" applyFont="1" applyFill="1" applyAlignment="1">
      <alignment horizontal="left"/>
    </xf>
    <xf numFmtId="0" fontId="9" fillId="3" borderId="3" xfId="0" applyFont="1" applyFill="1" applyBorder="1" applyAlignment="1">
      <alignment horizontal="left"/>
    </xf>
    <xf numFmtId="0" fontId="38" fillId="5" borderId="4" xfId="0" applyFont="1" applyFill="1" applyBorder="1"/>
    <xf numFmtId="0" fontId="38" fillId="5" borderId="4" xfId="0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31" fillId="0" borderId="13" xfId="0" applyFont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6" borderId="9" xfId="0" applyFont="1" applyFill="1" applyBorder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164" fontId="34" fillId="12" borderId="1" xfId="0" applyNumberFormat="1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165" fontId="37" fillId="5" borderId="23" xfId="0" applyNumberFormat="1" applyFont="1" applyFill="1" applyBorder="1" applyAlignment="1">
      <alignment horizontal="center" vertical="top"/>
    </xf>
    <xf numFmtId="1" fontId="34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40" fillId="13" borderId="1" xfId="0" applyFont="1" applyFill="1" applyBorder="1" applyAlignment="1">
      <alignment horizontal="center" vertical="center"/>
    </xf>
    <xf numFmtId="164" fontId="41" fillId="13" borderId="0" xfId="3" applyNumberFormat="1" applyFont="1" applyFill="1" applyBorder="1" applyAlignment="1" applyProtection="1">
      <alignment horizontal="center" vertical="center"/>
    </xf>
    <xf numFmtId="0" fontId="39" fillId="13" borderId="9" xfId="0" applyFont="1" applyFill="1" applyBorder="1" applyAlignment="1">
      <alignment horizontal="center" vertical="center"/>
    </xf>
    <xf numFmtId="0" fontId="39" fillId="13" borderId="8" xfId="0" applyFont="1" applyFill="1" applyBorder="1" applyAlignment="1">
      <alignment horizontal="center" vertical="center"/>
    </xf>
    <xf numFmtId="0" fontId="4" fillId="11" borderId="0" xfId="0" applyFont="1" applyFill="1" applyAlignment="1">
      <alignment wrapText="1"/>
    </xf>
    <xf numFmtId="164" fontId="34" fillId="0" borderId="0" xfId="0" applyNumberFormat="1" applyFont="1" applyAlignment="1">
      <alignment horizontal="center"/>
    </xf>
    <xf numFmtId="8" fontId="34" fillId="0" borderId="0" xfId="0" applyNumberFormat="1" applyFont="1" applyAlignment="1">
      <alignment horizontal="center"/>
    </xf>
    <xf numFmtId="0" fontId="53" fillId="0" borderId="0" xfId="0" applyFont="1"/>
    <xf numFmtId="0" fontId="4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wrapText="1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4" fontId="65" fillId="3" borderId="0" xfId="3" applyNumberFormat="1" applyFont="1" applyFill="1" applyBorder="1" applyAlignment="1" applyProtection="1">
      <alignment horizontal="center" vertical="center" wrapText="1"/>
    </xf>
    <xf numFmtId="0" fontId="56" fillId="3" borderId="0" xfId="0" applyFont="1" applyFill="1" applyAlignment="1">
      <alignment horizontal="center" vertical="center"/>
    </xf>
    <xf numFmtId="0" fontId="60" fillId="3" borderId="0" xfId="0" applyFont="1" applyFill="1" applyAlignment="1">
      <alignment horizontal="center" vertical="center" wrapText="1"/>
    </xf>
    <xf numFmtId="0" fontId="61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wrapText="1"/>
    </xf>
    <xf numFmtId="164" fontId="34" fillId="3" borderId="0" xfId="0" applyNumberFormat="1" applyFont="1" applyFill="1" applyAlignment="1">
      <alignment horizontal="center"/>
    </xf>
    <xf numFmtId="8" fontId="4" fillId="3" borderId="0" xfId="0" applyNumberFormat="1" applyFont="1" applyFill="1" applyAlignment="1">
      <alignment horizontal="center"/>
    </xf>
    <xf numFmtId="8" fontId="3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8" fontId="4" fillId="3" borderId="0" xfId="0" applyNumberFormat="1" applyFont="1" applyFill="1" applyAlignment="1">
      <alignment horizontal="center" wrapText="1"/>
    </xf>
    <xf numFmtId="0" fontId="9" fillId="3" borderId="0" xfId="0" applyFont="1" applyFill="1"/>
    <xf numFmtId="0" fontId="25" fillId="3" borderId="0" xfId="3" applyNumberFormat="1" applyFont="1" applyFill="1" applyBorder="1" applyAlignment="1" applyProtection="1">
      <alignment horizontal="center" vertical="center" wrapText="1"/>
    </xf>
    <xf numFmtId="164" fontId="16" fillId="3" borderId="0" xfId="3" applyNumberFormat="1" applyFont="1" applyFill="1" applyBorder="1" applyAlignment="1" applyProtection="1">
      <alignment horizontal="center" vertical="center" wrapText="1"/>
    </xf>
    <xf numFmtId="8" fontId="42" fillId="3" borderId="0" xfId="0" applyNumberFormat="1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 wrapText="1"/>
    </xf>
    <xf numFmtId="0" fontId="32" fillId="3" borderId="0" xfId="0" applyFont="1" applyFill="1" applyAlignment="1" applyProtection="1">
      <alignment horizontal="center" vertical="center"/>
      <protection locked="0"/>
    </xf>
    <xf numFmtId="0" fontId="52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right" vertical="center" wrapText="1"/>
    </xf>
    <xf numFmtId="0" fontId="4" fillId="3" borderId="0" xfId="0" applyFont="1" applyFill="1"/>
    <xf numFmtId="0" fontId="44" fillId="0" borderId="0" xfId="0" applyFont="1"/>
    <xf numFmtId="0" fontId="30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/>
    </xf>
    <xf numFmtId="164" fontId="30" fillId="3" borderId="0" xfId="0" applyNumberFormat="1" applyFont="1" applyFill="1" applyAlignment="1">
      <alignment horizontal="center"/>
    </xf>
    <xf numFmtId="164" fontId="62" fillId="3" borderId="0" xfId="0" applyNumberFormat="1" applyFont="1" applyFill="1" applyAlignment="1">
      <alignment horizontal="center" vertical="center" wrapText="1"/>
    </xf>
    <xf numFmtId="164" fontId="30" fillId="3" borderId="17" xfId="0" applyNumberFormat="1" applyFont="1" applyFill="1" applyBorder="1" applyAlignment="1">
      <alignment horizontal="center"/>
    </xf>
    <xf numFmtId="0" fontId="9" fillId="3" borderId="26" xfId="0" applyFont="1" applyFill="1" applyBorder="1"/>
    <xf numFmtId="0" fontId="4" fillId="3" borderId="26" xfId="0" applyFont="1" applyFill="1" applyBorder="1" applyAlignment="1">
      <alignment horizontal="center"/>
    </xf>
    <xf numFmtId="0" fontId="26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27" fillId="3" borderId="0" xfId="0" applyFont="1" applyFill="1"/>
    <xf numFmtId="0" fontId="4" fillId="3" borderId="0" xfId="0" applyFont="1" applyFill="1" applyAlignment="1">
      <alignment vertical="center" wrapText="1"/>
    </xf>
    <xf numFmtId="0" fontId="8" fillId="11" borderId="0" xfId="0" applyFont="1" applyFill="1" applyAlignment="1">
      <alignment vertical="center"/>
    </xf>
    <xf numFmtId="0" fontId="6" fillId="11" borderId="0" xfId="0" applyFont="1" applyFill="1" applyAlignment="1">
      <alignment vertical="center" wrapText="1"/>
    </xf>
    <xf numFmtId="0" fontId="10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vertical="top" wrapText="1"/>
    </xf>
    <xf numFmtId="0" fontId="9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horizontal="right"/>
    </xf>
    <xf numFmtId="0" fontId="48" fillId="11" borderId="0" xfId="0" applyFont="1" applyFill="1" applyAlignment="1">
      <alignment horizontal="right" vertical="center"/>
    </xf>
    <xf numFmtId="0" fontId="50" fillId="11" borderId="0" xfId="0" applyFont="1" applyFill="1" applyAlignment="1">
      <alignment horizontal="right" vertical="center"/>
    </xf>
    <xf numFmtId="0" fontId="18" fillId="11" borderId="0" xfId="0" applyFont="1" applyFill="1" applyAlignment="1">
      <alignment horizontal="right" vertical="center"/>
    </xf>
    <xf numFmtId="0" fontId="11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0" fontId="9" fillId="11" borderId="0" xfId="0" applyFont="1" applyFill="1" applyAlignment="1">
      <alignment horizontal="center"/>
    </xf>
    <xf numFmtId="0" fontId="54" fillId="11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right" vertical="center"/>
    </xf>
    <xf numFmtId="0" fontId="55" fillId="11" borderId="0" xfId="0" applyFont="1" applyFill="1" applyAlignment="1" applyProtection="1">
      <alignment horizontal="center" vertical="center"/>
      <protection locked="0"/>
    </xf>
    <xf numFmtId="0" fontId="9" fillId="11" borderId="0" xfId="0" applyFont="1" applyFill="1"/>
    <xf numFmtId="0" fontId="4" fillId="11" borderId="0" xfId="0" applyFont="1" applyFill="1" applyAlignment="1">
      <alignment horizontal="center"/>
    </xf>
    <xf numFmtId="1" fontId="66" fillId="3" borderId="0" xfId="0" applyNumberFormat="1" applyFont="1" applyFill="1" applyAlignment="1">
      <alignment horizontal="center" vertical="center"/>
    </xf>
    <xf numFmtId="8" fontId="66" fillId="3" borderId="0" xfId="0" applyNumberFormat="1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 wrapText="1"/>
    </xf>
    <xf numFmtId="0" fontId="41" fillId="13" borderId="0" xfId="0" applyFont="1" applyFill="1" applyAlignment="1">
      <alignment horizontal="center" vertical="center"/>
    </xf>
    <xf numFmtId="0" fontId="46" fillId="3" borderId="0" xfId="0" applyFont="1" applyFill="1" applyAlignment="1">
      <alignment horizontal="center" vertical="center" wrapText="1"/>
    </xf>
    <xf numFmtId="0" fontId="37" fillId="3" borderId="0" xfId="0" applyFont="1" applyFill="1" applyAlignment="1" applyProtection="1">
      <alignment horizontal="center" vertical="center"/>
      <protection locked="0"/>
    </xf>
    <xf numFmtId="0" fontId="39" fillId="11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center" wrapText="1"/>
    </xf>
    <xf numFmtId="164" fontId="64" fillId="3" borderId="0" xfId="0" applyNumberFormat="1" applyFont="1" applyFill="1" applyAlignment="1">
      <alignment horizontal="center" vertical="top" wrapText="1"/>
    </xf>
    <xf numFmtId="0" fontId="5" fillId="3" borderId="0" xfId="0" applyFont="1" applyFill="1" applyAlignment="1">
      <alignment horizontal="right" wrapText="1"/>
    </xf>
    <xf numFmtId="165" fontId="37" fillId="3" borderId="0" xfId="0" applyNumberFormat="1" applyFont="1" applyFill="1" applyAlignment="1">
      <alignment horizontal="center" vertical="center"/>
    </xf>
    <xf numFmtId="0" fontId="14" fillId="3" borderId="0" xfId="0" applyFont="1" applyFill="1"/>
    <xf numFmtId="164" fontId="37" fillId="3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/>
    </xf>
    <xf numFmtId="6" fontId="36" fillId="0" borderId="0" xfId="0" applyNumberFormat="1" applyFont="1" applyAlignment="1">
      <alignment vertical="center"/>
    </xf>
    <xf numFmtId="164" fontId="34" fillId="12" borderId="5" xfId="0" applyNumberFormat="1" applyFont="1" applyFill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164" fontId="34" fillId="0" borderId="5" xfId="0" applyNumberFormat="1" applyFont="1" applyBorder="1" applyAlignment="1">
      <alignment horizontal="center"/>
    </xf>
    <xf numFmtId="0" fontId="9" fillId="0" borderId="13" xfId="0" applyFont="1" applyBorder="1"/>
    <xf numFmtId="0" fontId="9" fillId="0" borderId="13" xfId="0" applyFont="1" applyBorder="1" applyAlignment="1">
      <alignment wrapText="1"/>
    </xf>
    <xf numFmtId="0" fontId="5" fillId="0" borderId="13" xfId="0" applyFont="1" applyBorder="1"/>
    <xf numFmtId="0" fontId="9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53" fillId="3" borderId="0" xfId="0" applyFont="1" applyFill="1"/>
    <xf numFmtId="0" fontId="12" fillId="3" borderId="0" xfId="0" applyFont="1" applyFill="1" applyAlignment="1">
      <alignment horizontal="center"/>
    </xf>
    <xf numFmtId="0" fontId="9" fillId="0" borderId="45" xfId="0" applyFont="1" applyBorder="1"/>
    <xf numFmtId="0" fontId="9" fillId="3" borderId="7" xfId="0" applyFont="1" applyFill="1" applyBorder="1"/>
    <xf numFmtId="0" fontId="9" fillId="3" borderId="7" xfId="0" applyFont="1" applyFill="1" applyBorder="1" applyAlignment="1">
      <alignment horizontal="center" vertical="center"/>
    </xf>
    <xf numFmtId="165" fontId="37" fillId="5" borderId="4" xfId="0" applyNumberFormat="1" applyFont="1" applyFill="1" applyBorder="1" applyAlignment="1">
      <alignment horizontal="center" vertical="center"/>
    </xf>
    <xf numFmtId="164" fontId="37" fillId="5" borderId="4" xfId="0" applyNumberFormat="1" applyFont="1" applyFill="1" applyBorder="1" applyAlignment="1">
      <alignment horizontal="center" vertical="center"/>
    </xf>
    <xf numFmtId="165" fontId="37" fillId="5" borderId="23" xfId="0" applyNumberFormat="1" applyFont="1" applyFill="1" applyBorder="1" applyAlignment="1">
      <alignment horizontal="center" vertical="center"/>
    </xf>
    <xf numFmtId="164" fontId="34" fillId="5" borderId="24" xfId="0" applyNumberFormat="1" applyFont="1" applyFill="1" applyBorder="1" applyAlignment="1">
      <alignment horizontal="right" vertical="center"/>
    </xf>
    <xf numFmtId="6" fontId="36" fillId="13" borderId="0" xfId="0" applyNumberFormat="1" applyFont="1" applyFill="1" applyAlignment="1">
      <alignment vertical="center"/>
    </xf>
    <xf numFmtId="164" fontId="8" fillId="13" borderId="9" xfId="0" applyNumberFormat="1" applyFont="1" applyFill="1" applyBorder="1" applyAlignment="1">
      <alignment horizontal="center" vertical="center" wrapText="1"/>
    </xf>
    <xf numFmtId="0" fontId="46" fillId="13" borderId="3" xfId="0" applyFont="1" applyFill="1" applyBorder="1" applyAlignment="1">
      <alignment horizontal="right" vertical="center"/>
    </xf>
    <xf numFmtId="0" fontId="46" fillId="13" borderId="8" xfId="0" applyFont="1" applyFill="1" applyBorder="1" applyAlignment="1">
      <alignment horizontal="center" vertical="center" wrapText="1"/>
    </xf>
    <xf numFmtId="0" fontId="34" fillId="8" borderId="4" xfId="0" applyFont="1" applyFill="1" applyBorder="1" applyAlignment="1" applyProtection="1">
      <alignment horizontal="center" wrapText="1"/>
      <protection locked="0"/>
    </xf>
    <xf numFmtId="0" fontId="14" fillId="8" borderId="1" xfId="0" applyFont="1" applyFill="1" applyBorder="1" applyAlignment="1">
      <alignment horizontal="center" vertical="center"/>
    </xf>
    <xf numFmtId="49" fontId="14" fillId="4" borderId="5" xfId="0" applyNumberFormat="1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6" fillId="15" borderId="0" xfId="0" applyFont="1" applyFill="1" applyAlignment="1">
      <alignment vertical="center" wrapText="1"/>
    </xf>
    <xf numFmtId="0" fontId="7" fillId="15" borderId="0" xfId="0" applyFont="1" applyFill="1" applyAlignment="1">
      <alignment vertical="top" wrapText="1"/>
    </xf>
    <xf numFmtId="0" fontId="6" fillId="15" borderId="0" xfId="0" applyFont="1" applyFill="1" applyAlignment="1">
      <alignment vertical="top" wrapText="1"/>
    </xf>
    <xf numFmtId="0" fontId="4" fillId="15" borderId="0" xfId="0" applyFont="1" applyFill="1" applyAlignment="1">
      <alignment wrapText="1"/>
    </xf>
    <xf numFmtId="0" fontId="4" fillId="15" borderId="14" xfId="0" applyFont="1" applyFill="1" applyBorder="1" applyAlignment="1">
      <alignment wrapText="1"/>
    </xf>
    <xf numFmtId="0" fontId="10" fillId="15" borderId="9" xfId="0" applyFont="1" applyFill="1" applyBorder="1" applyAlignment="1">
      <alignment vertical="center"/>
    </xf>
    <xf numFmtId="0" fontId="6" fillId="15" borderId="3" xfId="0" applyFont="1" applyFill="1" applyBorder="1" applyAlignment="1">
      <alignment vertical="center" wrapText="1"/>
    </xf>
    <xf numFmtId="0" fontId="10" fillId="15" borderId="3" xfId="0" applyFont="1" applyFill="1" applyBorder="1" applyAlignment="1">
      <alignment vertical="center"/>
    </xf>
    <xf numFmtId="0" fontId="6" fillId="15" borderId="3" xfId="0" applyFont="1" applyFill="1" applyBorder="1" applyAlignment="1">
      <alignment vertical="top" wrapText="1"/>
    </xf>
    <xf numFmtId="0" fontId="4" fillId="15" borderId="3" xfId="0" applyFont="1" applyFill="1" applyBorder="1" applyAlignment="1">
      <alignment wrapText="1"/>
    </xf>
    <xf numFmtId="0" fontId="4" fillId="15" borderId="36" xfId="0" applyFont="1" applyFill="1" applyBorder="1" applyAlignment="1">
      <alignment wrapText="1"/>
    </xf>
    <xf numFmtId="0" fontId="14" fillId="16" borderId="0" xfId="0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/>
    </xf>
    <xf numFmtId="164" fontId="14" fillId="16" borderId="0" xfId="0" applyNumberFormat="1" applyFont="1" applyFill="1" applyAlignment="1">
      <alignment horizontal="center" vertical="center" wrapText="1"/>
    </xf>
    <xf numFmtId="164" fontId="14" fillId="16" borderId="3" xfId="0" applyNumberFormat="1" applyFont="1" applyFill="1" applyBorder="1" applyAlignment="1">
      <alignment horizontal="center" vertical="center"/>
    </xf>
    <xf numFmtId="164" fontId="4" fillId="16" borderId="0" xfId="0" applyNumberFormat="1" applyFont="1" applyFill="1" applyAlignment="1">
      <alignment horizontal="center"/>
    </xf>
    <xf numFmtId="164" fontId="9" fillId="16" borderId="0" xfId="0" applyNumberFormat="1" applyFont="1" applyFill="1" applyAlignment="1">
      <alignment horizontal="center" vertical="center"/>
    </xf>
    <xf numFmtId="164" fontId="4" fillId="16" borderId="10" xfId="0" applyNumberFormat="1" applyFont="1" applyFill="1" applyBorder="1" applyAlignment="1">
      <alignment horizontal="center"/>
    </xf>
    <xf numFmtId="8" fontId="4" fillId="16" borderId="0" xfId="0" applyNumberFormat="1" applyFont="1" applyFill="1" applyAlignment="1">
      <alignment horizontal="center"/>
    </xf>
    <xf numFmtId="8" fontId="4" fillId="16" borderId="14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wrapText="1"/>
    </xf>
    <xf numFmtId="164" fontId="9" fillId="16" borderId="7" xfId="0" applyNumberFormat="1" applyFont="1" applyFill="1" applyBorder="1" applyAlignment="1">
      <alignment horizontal="center" vertical="center"/>
    </xf>
    <xf numFmtId="0" fontId="5" fillId="16" borderId="16" xfId="0" applyFont="1" applyFill="1" applyBorder="1" applyAlignment="1">
      <alignment horizontal="right" wrapText="1"/>
    </xf>
    <xf numFmtId="0" fontId="9" fillId="16" borderId="0" xfId="0" applyFont="1" applyFill="1" applyAlignment="1">
      <alignment horizontal="center" wrapText="1"/>
    </xf>
    <xf numFmtId="164" fontId="9" fillId="16" borderId="0" xfId="0" applyNumberFormat="1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/>
    </xf>
    <xf numFmtId="0" fontId="9" fillId="16" borderId="0" xfId="0" applyFont="1" applyFill="1" applyAlignment="1">
      <alignment horizontal="center" vertical="center"/>
    </xf>
    <xf numFmtId="0" fontId="9" fillId="16" borderId="3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center" vertical="center"/>
    </xf>
    <xf numFmtId="0" fontId="14" fillId="16" borderId="9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8" fontId="4" fillId="16" borderId="7" xfId="0" applyNumberFormat="1" applyFont="1" applyFill="1" applyBorder="1" applyAlignment="1">
      <alignment horizontal="center"/>
    </xf>
    <xf numFmtId="164" fontId="5" fillId="16" borderId="10" xfId="0" applyNumberFormat="1" applyFont="1" applyFill="1" applyBorder="1" applyAlignment="1">
      <alignment vertical="center"/>
    </xf>
    <xf numFmtId="164" fontId="5" fillId="16" borderId="7" xfId="0" applyNumberFormat="1" applyFont="1" applyFill="1" applyBorder="1" applyAlignment="1">
      <alignment vertical="center"/>
    </xf>
    <xf numFmtId="164" fontId="16" fillId="16" borderId="7" xfId="0" applyNumberFormat="1" applyFont="1" applyFill="1" applyBorder="1"/>
    <xf numFmtId="0" fontId="5" fillId="16" borderId="7" xfId="0" applyFont="1" applyFill="1" applyBorder="1" applyAlignment="1">
      <alignment horizontal="right" wrapText="1"/>
    </xf>
    <xf numFmtId="164" fontId="5" fillId="16" borderId="11" xfId="0" applyNumberFormat="1" applyFont="1" applyFill="1" applyBorder="1" applyAlignment="1">
      <alignment vertical="center"/>
    </xf>
    <xf numFmtId="164" fontId="5" fillId="16" borderId="0" xfId="0" applyNumberFormat="1" applyFont="1" applyFill="1" applyAlignment="1">
      <alignment vertical="center"/>
    </xf>
    <xf numFmtId="164" fontId="16" fillId="16" borderId="0" xfId="0" applyNumberFormat="1" applyFont="1" applyFill="1" applyAlignment="1">
      <alignment horizontal="left" vertical="center"/>
    </xf>
    <xf numFmtId="164" fontId="16" fillId="16" borderId="0" xfId="0" applyNumberFormat="1" applyFont="1" applyFill="1"/>
    <xf numFmtId="164" fontId="22" fillId="16" borderId="0" xfId="0" applyNumberFormat="1" applyFont="1" applyFill="1" applyAlignment="1">
      <alignment horizontal="center" vertical="center"/>
    </xf>
    <xf numFmtId="164" fontId="67" fillId="16" borderId="0" xfId="0" applyNumberFormat="1" applyFont="1" applyFill="1" applyAlignment="1">
      <alignment horizontal="center" vertical="center"/>
    </xf>
    <xf numFmtId="49" fontId="4" fillId="16" borderId="0" xfId="0" applyNumberFormat="1" applyFont="1" applyFill="1"/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vertical="center" wrapText="1"/>
    </xf>
    <xf numFmtId="0" fontId="5" fillId="16" borderId="7" xfId="0" applyFont="1" applyFill="1" applyBorder="1" applyAlignment="1">
      <alignment vertical="center" wrapText="1"/>
    </xf>
    <xf numFmtId="0" fontId="5" fillId="16" borderId="11" xfId="0" applyFont="1" applyFill="1" applyBorder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5" fillId="16" borderId="0" xfId="0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5" fillId="16" borderId="13" xfId="0" applyFont="1" applyFill="1" applyBorder="1" applyAlignment="1">
      <alignment horizontal="center" vertical="center" wrapText="1"/>
    </xf>
    <xf numFmtId="0" fontId="9" fillId="16" borderId="10" xfId="0" applyFont="1" applyFill="1" applyBorder="1" applyAlignment="1">
      <alignment vertical="center" wrapText="1"/>
    </xf>
    <xf numFmtId="0" fontId="9" fillId="16" borderId="7" xfId="0" applyFont="1" applyFill="1" applyBorder="1" applyAlignment="1">
      <alignment vertical="center" wrapText="1"/>
    </xf>
    <xf numFmtId="0" fontId="9" fillId="16" borderId="12" xfId="0" applyFont="1" applyFill="1" applyBorder="1" applyAlignment="1">
      <alignment vertical="center" wrapText="1"/>
    </xf>
    <xf numFmtId="0" fontId="15" fillId="16" borderId="10" xfId="0" applyFont="1" applyFill="1" applyBorder="1" applyAlignment="1">
      <alignment horizontal="left" vertical="center"/>
    </xf>
    <xf numFmtId="0" fontId="15" fillId="16" borderId="7" xfId="0" applyFont="1" applyFill="1" applyBorder="1" applyAlignment="1">
      <alignment vertical="center"/>
    </xf>
    <xf numFmtId="0" fontId="21" fillId="16" borderId="7" xfId="0" applyFont="1" applyFill="1" applyBorder="1" applyAlignment="1">
      <alignment vertical="center"/>
    </xf>
    <xf numFmtId="0" fontId="15" fillId="16" borderId="11" xfId="0" applyFont="1" applyFill="1" applyBorder="1" applyAlignment="1">
      <alignment horizontal="left" vertical="center"/>
    </xf>
    <xf numFmtId="0" fontId="15" fillId="16" borderId="0" xfId="0" applyFont="1" applyFill="1" applyAlignment="1">
      <alignment vertical="center"/>
    </xf>
    <xf numFmtId="0" fontId="4" fillId="16" borderId="0" xfId="0" applyFont="1" applyFill="1"/>
    <xf numFmtId="8" fontId="4" fillId="16" borderId="0" xfId="0" applyNumberFormat="1" applyFont="1" applyFill="1" applyAlignment="1">
      <alignment horizontal="center" wrapText="1"/>
    </xf>
    <xf numFmtId="8" fontId="4" fillId="16" borderId="13" xfId="0" applyNumberFormat="1" applyFont="1" applyFill="1" applyBorder="1" applyAlignment="1">
      <alignment horizontal="center" wrapText="1"/>
    </xf>
    <xf numFmtId="164" fontId="4" fillId="16" borderId="7" xfId="0" applyNumberFormat="1" applyFont="1" applyFill="1" applyBorder="1" applyAlignment="1">
      <alignment horizontal="center"/>
    </xf>
    <xf numFmtId="8" fontId="4" fillId="16" borderId="7" xfId="0" applyNumberFormat="1" applyFont="1" applyFill="1" applyBorder="1" applyAlignment="1">
      <alignment horizontal="center" wrapText="1"/>
    </xf>
    <xf numFmtId="0" fontId="4" fillId="16" borderId="7" xfId="0" applyFont="1" applyFill="1" applyBorder="1"/>
    <xf numFmtId="8" fontId="4" fillId="16" borderId="12" xfId="0" applyNumberFormat="1" applyFont="1" applyFill="1" applyBorder="1" applyAlignment="1">
      <alignment horizontal="center" wrapText="1"/>
    </xf>
    <xf numFmtId="0" fontId="5" fillId="16" borderId="10" xfId="0" applyFont="1" applyFill="1" applyBorder="1"/>
    <xf numFmtId="0" fontId="5" fillId="16" borderId="7" xfId="0" applyFont="1" applyFill="1" applyBorder="1"/>
    <xf numFmtId="0" fontId="5" fillId="16" borderId="11" xfId="0" applyFont="1" applyFill="1" applyBorder="1"/>
    <xf numFmtId="0" fontId="5" fillId="16" borderId="0" xfId="0" applyFont="1" applyFill="1"/>
    <xf numFmtId="0" fontId="14" fillId="16" borderId="11" xfId="0" applyFont="1" applyFill="1" applyBorder="1"/>
    <xf numFmtId="0" fontId="14" fillId="16" borderId="0" xfId="0" applyFont="1" applyFill="1"/>
    <xf numFmtId="164" fontId="9" fillId="16" borderId="0" xfId="0" applyNumberFormat="1" applyFont="1" applyFill="1"/>
    <xf numFmtId="164" fontId="9" fillId="16" borderId="7" xfId="0" applyNumberFormat="1" applyFont="1" applyFill="1" applyBorder="1"/>
    <xf numFmtId="164" fontId="4" fillId="16" borderId="0" xfId="0" applyNumberFormat="1" applyFont="1" applyFill="1"/>
    <xf numFmtId="0" fontId="12" fillId="16" borderId="0" xfId="0" applyFont="1" applyFill="1" applyAlignment="1">
      <alignment horizontal="center"/>
    </xf>
    <xf numFmtId="0" fontId="12" fillId="16" borderId="13" xfId="0" applyFont="1" applyFill="1" applyBorder="1" applyAlignment="1">
      <alignment horizontal="center"/>
    </xf>
    <xf numFmtId="0" fontId="9" fillId="16" borderId="10" xfId="0" applyFont="1" applyFill="1" applyBorder="1" applyAlignment="1">
      <alignment horizontal="center"/>
    </xf>
    <xf numFmtId="164" fontId="9" fillId="16" borderId="7" xfId="0" applyNumberFormat="1" applyFont="1" applyFill="1" applyBorder="1" applyAlignment="1">
      <alignment horizontal="center"/>
    </xf>
    <xf numFmtId="0" fontId="12" fillId="16" borderId="7" xfId="0" applyFont="1" applyFill="1" applyBorder="1" applyAlignment="1">
      <alignment horizontal="center"/>
    </xf>
    <xf numFmtId="0" fontId="12" fillId="16" borderId="12" xfId="0" applyFont="1" applyFill="1" applyBorder="1" applyAlignment="1">
      <alignment horizontal="center"/>
    </xf>
    <xf numFmtId="0" fontId="14" fillId="16" borderId="10" xfId="0" applyFont="1" applyFill="1" applyBorder="1" applyAlignment="1">
      <alignment vertical="center" wrapText="1"/>
    </xf>
    <xf numFmtId="0" fontId="14" fillId="16" borderId="7" xfId="0" applyFont="1" applyFill="1" applyBorder="1" applyAlignment="1">
      <alignment vertical="center" wrapText="1"/>
    </xf>
    <xf numFmtId="0" fontId="22" fillId="16" borderId="7" xfId="0" applyFont="1" applyFill="1" applyBorder="1" applyAlignment="1">
      <alignment vertical="center"/>
    </xf>
    <xf numFmtId="0" fontId="14" fillId="16" borderId="11" xfId="0" applyFont="1" applyFill="1" applyBorder="1" applyAlignment="1">
      <alignment vertical="center" wrapText="1"/>
    </xf>
    <xf numFmtId="0" fontId="14" fillId="16" borderId="0" xfId="0" applyFont="1" applyFill="1" applyAlignment="1">
      <alignment vertical="center" wrapText="1"/>
    </xf>
    <xf numFmtId="8" fontId="4" fillId="16" borderId="13" xfId="0" applyNumberFormat="1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8" fontId="4" fillId="16" borderId="12" xfId="0" applyNumberFormat="1" applyFont="1" applyFill="1" applyBorder="1" applyAlignment="1">
      <alignment horizontal="center"/>
    </xf>
    <xf numFmtId="164" fontId="4" fillId="16" borderId="12" xfId="0" applyNumberFormat="1" applyFont="1" applyFill="1" applyBorder="1" applyAlignment="1">
      <alignment horizontal="center"/>
    </xf>
    <xf numFmtId="0" fontId="9" fillId="16" borderId="7" xfId="0" applyFont="1" applyFill="1" applyBorder="1" applyAlignment="1">
      <alignment horizontal="center" vertical="center"/>
    </xf>
    <xf numFmtId="0" fontId="22" fillId="16" borderId="7" xfId="0" applyFont="1" applyFill="1" applyBorder="1" applyAlignment="1">
      <alignment vertical="center" wrapText="1"/>
    </xf>
    <xf numFmtId="0" fontId="9" fillId="16" borderId="11" xfId="0" applyFont="1" applyFill="1" applyBorder="1" applyAlignment="1">
      <alignment horizontal="center"/>
    </xf>
    <xf numFmtId="0" fontId="9" fillId="16" borderId="4" xfId="0" applyFont="1" applyFill="1" applyBorder="1"/>
    <xf numFmtId="0" fontId="9" fillId="16" borderId="6" xfId="0" applyFont="1" applyFill="1" applyBorder="1" applyAlignment="1">
      <alignment horizontal="center" vertical="center"/>
    </xf>
    <xf numFmtId="0" fontId="9" fillId="16" borderId="6" xfId="0" applyFont="1" applyFill="1" applyBorder="1"/>
    <xf numFmtId="0" fontId="9" fillId="16" borderId="5" xfId="0" applyFont="1" applyFill="1" applyBorder="1"/>
    <xf numFmtId="0" fontId="14" fillId="16" borderId="6" xfId="0" applyFont="1" applyFill="1" applyBorder="1"/>
    <xf numFmtId="0" fontId="37" fillId="16" borderId="16" xfId="0" applyFont="1" applyFill="1" applyBorder="1"/>
    <xf numFmtId="0" fontId="4" fillId="16" borderId="16" xfId="0" applyFont="1" applyFill="1" applyBorder="1" applyAlignment="1">
      <alignment horizontal="center" vertical="center"/>
    </xf>
    <xf numFmtId="0" fontId="4" fillId="16" borderId="16" xfId="0" applyFont="1" applyFill="1" applyBorder="1"/>
    <xf numFmtId="0" fontId="4" fillId="16" borderId="16" xfId="0" applyFont="1" applyFill="1" applyBorder="1" applyAlignment="1">
      <alignment horizontal="center"/>
    </xf>
    <xf numFmtId="0" fontId="4" fillId="16" borderId="31" xfId="0" applyFont="1" applyFill="1" applyBorder="1" applyAlignment="1">
      <alignment horizontal="center"/>
    </xf>
    <xf numFmtId="0" fontId="37" fillId="16" borderId="0" xfId="0" applyFont="1" applyFill="1"/>
    <xf numFmtId="0" fontId="4" fillId="16" borderId="0" xfId="0" applyFont="1" applyFill="1" applyAlignment="1">
      <alignment horizontal="center" vertical="center"/>
    </xf>
    <xf numFmtId="0" fontId="4" fillId="16" borderId="28" xfId="0" applyFont="1" applyFill="1" applyBorder="1" applyAlignment="1">
      <alignment horizontal="center"/>
    </xf>
    <xf numFmtId="0" fontId="37" fillId="16" borderId="44" xfId="0" applyFont="1" applyFill="1" applyBorder="1"/>
    <xf numFmtId="0" fontId="37" fillId="16" borderId="29" xfId="0" applyFont="1" applyFill="1" applyBorder="1"/>
    <xf numFmtId="0" fontId="4" fillId="16" borderId="29" xfId="0" applyFont="1" applyFill="1" applyBorder="1" applyAlignment="1">
      <alignment horizontal="center" vertical="center"/>
    </xf>
    <xf numFmtId="0" fontId="4" fillId="16" borderId="29" xfId="0" applyFont="1" applyFill="1" applyBorder="1"/>
    <xf numFmtId="0" fontId="4" fillId="16" borderId="29" xfId="0" applyFont="1" applyFill="1" applyBorder="1" applyAlignment="1">
      <alignment horizontal="center"/>
    </xf>
    <xf numFmtId="0" fontId="4" fillId="16" borderId="30" xfId="0" applyFont="1" applyFill="1" applyBorder="1" applyAlignment="1">
      <alignment horizontal="center"/>
    </xf>
    <xf numFmtId="0" fontId="5" fillId="16" borderId="5" xfId="0" applyFont="1" applyFill="1" applyBorder="1" applyAlignment="1">
      <alignment horizontal="right" vertical="center" wrapText="1"/>
    </xf>
    <xf numFmtId="0" fontId="5" fillId="16" borderId="7" xfId="0" applyFont="1" applyFill="1" applyBorder="1" applyAlignment="1">
      <alignment horizontal="right" vertical="center" wrapText="1"/>
    </xf>
    <xf numFmtId="0" fontId="0" fillId="16" borderId="0" xfId="0" applyFill="1"/>
    <xf numFmtId="164" fontId="34" fillId="16" borderId="1" xfId="0" applyNumberFormat="1" applyFont="1" applyFill="1" applyBorder="1" applyAlignment="1">
      <alignment horizontal="center"/>
    </xf>
    <xf numFmtId="0" fontId="9" fillId="0" borderId="48" xfId="0" applyFont="1" applyBorder="1"/>
    <xf numFmtId="0" fontId="9" fillId="0" borderId="26" xfId="0" applyFont="1" applyBorder="1"/>
    <xf numFmtId="6" fontId="36" fillId="5" borderId="0" xfId="0" applyNumberFormat="1" applyFont="1" applyFill="1" applyAlignment="1">
      <alignment vertical="center"/>
    </xf>
    <xf numFmtId="0" fontId="36" fillId="5" borderId="0" xfId="0" applyFont="1" applyFill="1" applyAlignment="1">
      <alignment horizontal="right" vertical="center"/>
    </xf>
    <xf numFmtId="0" fontId="32" fillId="5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6" fillId="5" borderId="0" xfId="0" applyFont="1" applyFill="1" applyAlignment="1">
      <alignment horizontal="center"/>
    </xf>
    <xf numFmtId="0" fontId="9" fillId="17" borderId="0" xfId="0" applyFont="1" applyFill="1"/>
    <xf numFmtId="0" fontId="9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/>
    </xf>
    <xf numFmtId="0" fontId="4" fillId="17" borderId="0" xfId="0" applyFont="1" applyFill="1" applyAlignment="1">
      <alignment horizontal="center"/>
    </xf>
    <xf numFmtId="0" fontId="4" fillId="17" borderId="0" xfId="0" applyFont="1" applyFill="1"/>
    <xf numFmtId="0" fontId="9" fillId="17" borderId="28" xfId="0" applyFont="1" applyFill="1" applyBorder="1"/>
    <xf numFmtId="0" fontId="4" fillId="17" borderId="28" xfId="0" applyFont="1" applyFill="1" applyBorder="1"/>
    <xf numFmtId="0" fontId="9" fillId="17" borderId="0" xfId="0" applyFont="1" applyFill="1" applyAlignment="1">
      <alignment vertical="center"/>
    </xf>
    <xf numFmtId="0" fontId="29" fillId="17" borderId="0" xfId="0" applyFont="1" applyFill="1" applyAlignment="1">
      <alignment horizontal="center" vertical="center"/>
    </xf>
    <xf numFmtId="0" fontId="4" fillId="17" borderId="0" xfId="0" applyFont="1" applyFill="1" applyAlignment="1">
      <alignment horizontal="center" wrapText="1"/>
    </xf>
    <xf numFmtId="0" fontId="9" fillId="17" borderId="0" xfId="0" applyFont="1" applyFill="1" applyAlignment="1">
      <alignment wrapText="1"/>
    </xf>
    <xf numFmtId="0" fontId="9" fillId="17" borderId="0" xfId="0" applyFont="1" applyFill="1" applyAlignment="1">
      <alignment vertical="center" wrapText="1"/>
    </xf>
    <xf numFmtId="164" fontId="30" fillId="17" borderId="0" xfId="0" applyNumberFormat="1" applyFont="1" applyFill="1" applyAlignment="1">
      <alignment horizontal="center"/>
    </xf>
    <xf numFmtId="8" fontId="4" fillId="17" borderId="0" xfId="0" applyNumberFormat="1" applyFont="1" applyFill="1" applyAlignment="1">
      <alignment horizontal="center"/>
    </xf>
    <xf numFmtId="8" fontId="4" fillId="17" borderId="0" xfId="0" applyNumberFormat="1" applyFont="1" applyFill="1" applyAlignment="1">
      <alignment horizontal="center" wrapText="1"/>
    </xf>
    <xf numFmtId="1" fontId="30" fillId="17" borderId="0" xfId="0" applyNumberFormat="1" applyFont="1" applyFill="1" applyAlignment="1">
      <alignment horizontal="center"/>
    </xf>
    <xf numFmtId="0" fontId="9" fillId="17" borderId="3" xfId="0" applyFont="1" applyFill="1" applyBorder="1"/>
    <xf numFmtId="0" fontId="5" fillId="17" borderId="0" xfId="0" applyFont="1" applyFill="1" applyAlignment="1">
      <alignment horizontal="center" vertical="center" wrapText="1"/>
    </xf>
    <xf numFmtId="0" fontId="5" fillId="17" borderId="0" xfId="0" applyFont="1" applyFill="1"/>
    <xf numFmtId="1" fontId="4" fillId="17" borderId="0" xfId="2" applyNumberFormat="1" applyFont="1" applyFill="1" applyAlignment="1">
      <alignment horizontal="center"/>
    </xf>
    <xf numFmtId="1" fontId="4" fillId="17" borderId="0" xfId="0" applyNumberFormat="1" applyFont="1" applyFill="1" applyAlignment="1">
      <alignment horizontal="center"/>
    </xf>
    <xf numFmtId="164" fontId="9" fillId="17" borderId="0" xfId="0" applyNumberFormat="1" applyFont="1" applyFill="1" applyAlignment="1">
      <alignment horizontal="center"/>
    </xf>
    <xf numFmtId="164" fontId="9" fillId="17" borderId="0" xfId="0" applyNumberFormat="1" applyFont="1" applyFill="1"/>
    <xf numFmtId="8" fontId="9" fillId="17" borderId="0" xfId="0" applyNumberFormat="1" applyFont="1" applyFill="1"/>
    <xf numFmtId="6" fontId="9" fillId="17" borderId="0" xfId="0" applyNumberFormat="1" applyFont="1" applyFill="1"/>
    <xf numFmtId="0" fontId="9" fillId="17" borderId="0" xfId="0" applyFont="1" applyFill="1" applyAlignment="1">
      <alignment horizontal="left"/>
    </xf>
    <xf numFmtId="0" fontId="16" fillId="17" borderId="0" xfId="0" applyFont="1" applyFill="1"/>
    <xf numFmtId="0" fontId="16" fillId="17" borderId="0" xfId="0" applyFont="1" applyFill="1" applyAlignment="1">
      <alignment wrapText="1"/>
    </xf>
    <xf numFmtId="8" fontId="9" fillId="17" borderId="0" xfId="0" applyNumberFormat="1" applyFont="1" applyFill="1" applyAlignment="1">
      <alignment horizontal="left"/>
    </xf>
    <xf numFmtId="0" fontId="12" fillId="17" borderId="0" xfId="0" applyFont="1" applyFill="1" applyAlignment="1">
      <alignment horizontal="center"/>
    </xf>
    <xf numFmtId="0" fontId="18" fillId="17" borderId="0" xfId="0" applyFont="1" applyFill="1"/>
    <xf numFmtId="0" fontId="9" fillId="17" borderId="28" xfId="0" applyFont="1" applyFill="1" applyBorder="1" applyAlignment="1">
      <alignment wrapText="1"/>
    </xf>
    <xf numFmtId="0" fontId="9" fillId="17" borderId="47" xfId="0" applyFont="1" applyFill="1" applyBorder="1"/>
    <xf numFmtId="0" fontId="9" fillId="17" borderId="28" xfId="0" applyFont="1" applyFill="1" applyBorder="1" applyAlignment="1">
      <alignment vertical="center"/>
    </xf>
    <xf numFmtId="0" fontId="5" fillId="17" borderId="28" xfId="0" applyFont="1" applyFill="1" applyBorder="1"/>
    <xf numFmtId="0" fontId="17" fillId="17" borderId="0" xfId="0" quotePrefix="1" applyFont="1" applyFill="1"/>
    <xf numFmtId="0" fontId="4" fillId="17" borderId="0" xfId="0" applyFont="1" applyFill="1" applyAlignment="1">
      <alignment wrapText="1"/>
    </xf>
    <xf numFmtId="0" fontId="9" fillId="17" borderId="29" xfId="0" applyFont="1" applyFill="1" applyBorder="1"/>
    <xf numFmtId="0" fontId="72" fillId="15" borderId="7" xfId="0" applyFont="1" applyFill="1" applyBorder="1" applyAlignment="1">
      <alignment horizontal="right" vertical="top" wrapText="1"/>
    </xf>
    <xf numFmtId="0" fontId="73" fillId="15" borderId="0" xfId="0" applyFont="1" applyFill="1" applyAlignment="1">
      <alignment horizontal="left" vertical="top" wrapText="1"/>
    </xf>
    <xf numFmtId="0" fontId="37" fillId="4" borderId="13" xfId="0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1" fillId="4" borderId="13" xfId="0" applyFont="1" applyFill="1" applyBorder="1" applyAlignment="1" applyProtection="1">
      <alignment horizontal="center" vertical="center"/>
      <protection locked="0"/>
    </xf>
    <xf numFmtId="0" fontId="39" fillId="15" borderId="1" xfId="0" applyFont="1" applyFill="1" applyBorder="1" applyAlignment="1">
      <alignment horizontal="center" vertical="center"/>
    </xf>
    <xf numFmtId="0" fontId="61" fillId="16" borderId="0" xfId="0" applyFont="1" applyFill="1" applyAlignment="1">
      <alignment horizontal="center" vertical="center" wrapText="1"/>
    </xf>
    <xf numFmtId="0" fontId="61" fillId="16" borderId="1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8" borderId="15" xfId="0" applyFont="1" applyFill="1" applyBorder="1" applyAlignment="1">
      <alignment horizontal="center" vertical="center"/>
    </xf>
    <xf numFmtId="49" fontId="14" fillId="4" borderId="12" xfId="0" applyNumberFormat="1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vertical="top"/>
    </xf>
    <xf numFmtId="0" fontId="5" fillId="16" borderId="0" xfId="0" applyFont="1" applyFill="1" applyAlignment="1">
      <alignment vertical="top"/>
    </xf>
    <xf numFmtId="0" fontId="19" fillId="16" borderId="11" xfId="0" applyFont="1" applyFill="1" applyBorder="1" applyAlignment="1">
      <alignment horizontal="left" vertical="center"/>
    </xf>
    <xf numFmtId="164" fontId="14" fillId="16" borderId="11" xfId="0" applyNumberFormat="1" applyFont="1" applyFill="1" applyBorder="1" applyAlignment="1">
      <alignment horizontal="center" vertical="center"/>
    </xf>
    <xf numFmtId="0" fontId="5" fillId="16" borderId="11" xfId="0" applyFont="1" applyFill="1" applyBorder="1" applyAlignment="1">
      <alignment vertical="center"/>
    </xf>
    <xf numFmtId="0" fontId="5" fillId="16" borderId="0" xfId="0" applyFont="1" applyFill="1" applyAlignment="1">
      <alignment vertical="center"/>
    </xf>
    <xf numFmtId="164" fontId="34" fillId="5" borderId="1" xfId="3" applyNumberFormat="1" applyFont="1" applyFill="1" applyBorder="1" applyAlignment="1" applyProtection="1">
      <alignment horizontal="center"/>
    </xf>
    <xf numFmtId="1" fontId="30" fillId="18" borderId="0" xfId="0" applyNumberFormat="1" applyFont="1" applyFill="1" applyAlignment="1">
      <alignment horizontal="center"/>
    </xf>
    <xf numFmtId="8" fontId="4" fillId="3" borderId="11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8" fontId="34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8" fontId="35" fillId="0" borderId="1" xfId="0" applyNumberFormat="1" applyFont="1" applyBorder="1" applyAlignment="1">
      <alignment horizontal="center"/>
    </xf>
    <xf numFmtId="0" fontId="53" fillId="0" borderId="1" xfId="0" applyFont="1" applyBorder="1"/>
    <xf numFmtId="0" fontId="40" fillId="13" borderId="6" xfId="0" applyFont="1" applyFill="1" applyBorder="1" applyAlignment="1">
      <alignment horizontal="center" vertical="center"/>
    </xf>
    <xf numFmtId="0" fontId="40" fillId="13" borderId="5" xfId="0" applyFont="1" applyFill="1" applyBorder="1" applyAlignment="1">
      <alignment horizontal="center" vertical="center"/>
    </xf>
    <xf numFmtId="0" fontId="25" fillId="16" borderId="0" xfId="3" applyNumberFormat="1" applyFont="1" applyFill="1" applyBorder="1" applyAlignment="1" applyProtection="1">
      <alignment horizontal="center" vertical="center" wrapText="1"/>
    </xf>
    <xf numFmtId="0" fontId="25" fillId="16" borderId="13" xfId="3" applyNumberFormat="1" applyFont="1" applyFill="1" applyBorder="1" applyAlignment="1" applyProtection="1">
      <alignment horizontal="center" vertical="center" wrapText="1"/>
    </xf>
    <xf numFmtId="165" fontId="25" fillId="16" borderId="7" xfId="3" applyNumberFormat="1" applyFont="1" applyFill="1" applyBorder="1" applyAlignment="1" applyProtection="1">
      <alignment horizontal="center" vertical="center" wrapText="1"/>
    </xf>
    <xf numFmtId="0" fontId="25" fillId="16" borderId="12" xfId="3" applyNumberFormat="1" applyFont="1" applyFill="1" applyBorder="1" applyAlignment="1" applyProtection="1">
      <alignment horizontal="center" vertical="center" wrapText="1"/>
    </xf>
    <xf numFmtId="0" fontId="32" fillId="16" borderId="10" xfId="0" applyFont="1" applyFill="1" applyBorder="1" applyAlignment="1">
      <alignment horizontal="right" vertical="center"/>
    </xf>
    <xf numFmtId="0" fontId="32" fillId="16" borderId="7" xfId="0" applyFont="1" applyFill="1" applyBorder="1" applyAlignment="1">
      <alignment horizontal="right" vertical="center"/>
    </xf>
    <xf numFmtId="0" fontId="32" fillId="16" borderId="11" xfId="0" applyFont="1" applyFill="1" applyBorder="1" applyAlignment="1">
      <alignment horizontal="right" vertical="center" wrapText="1"/>
    </xf>
    <xf numFmtId="0" fontId="32" fillId="16" borderId="0" xfId="0" applyFont="1" applyFill="1" applyAlignment="1">
      <alignment horizontal="right" vertical="center" wrapText="1"/>
    </xf>
    <xf numFmtId="0" fontId="34" fillId="0" borderId="4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57" fillId="0" borderId="4" xfId="0" applyFont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5" xfId="0" applyFont="1" applyBorder="1" applyAlignment="1">
      <alignment horizontal="center"/>
    </xf>
    <xf numFmtId="8" fontId="34" fillId="0" borderId="37" xfId="0" applyNumberFormat="1" applyFont="1" applyBorder="1" applyAlignment="1">
      <alignment horizontal="center"/>
    </xf>
    <xf numFmtId="8" fontId="34" fillId="0" borderId="21" xfId="0" applyNumberFormat="1" applyFont="1" applyBorder="1" applyAlignment="1">
      <alignment horizontal="center"/>
    </xf>
    <xf numFmtId="8" fontId="34" fillId="0" borderId="20" xfId="0" applyNumberFormat="1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" fillId="16" borderId="7" xfId="0" applyFont="1" applyFill="1" applyBorder="1" applyAlignment="1">
      <alignment horizontal="center" vertical="center" wrapText="1"/>
    </xf>
    <xf numFmtId="0" fontId="4" fillId="16" borderId="12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center" vertical="center" wrapText="1"/>
    </xf>
    <xf numFmtId="0" fontId="45" fillId="16" borderId="0" xfId="0" applyFont="1" applyFill="1" applyAlignment="1">
      <alignment horizontal="center" vertical="center" wrapText="1"/>
    </xf>
    <xf numFmtId="0" fontId="8" fillId="17" borderId="0" xfId="0" applyFont="1" applyFill="1" applyAlignment="1">
      <alignment horizontal="center" wrapText="1"/>
    </xf>
    <xf numFmtId="0" fontId="30" fillId="0" borderId="0" xfId="0" applyFont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0" fillId="3" borderId="13" xfId="0" applyFont="1" applyFill="1" applyBorder="1" applyAlignment="1">
      <alignment horizontal="center" vertical="center"/>
    </xf>
    <xf numFmtId="0" fontId="63" fillId="13" borderId="11" xfId="0" applyFont="1" applyFill="1" applyBorder="1" applyAlignment="1">
      <alignment horizontal="center" vertical="center"/>
    </xf>
    <xf numFmtId="0" fontId="63" fillId="13" borderId="0" xfId="0" applyFont="1" applyFill="1" applyAlignment="1">
      <alignment horizontal="center" vertical="center"/>
    </xf>
    <xf numFmtId="0" fontId="63" fillId="13" borderId="10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164" fontId="5" fillId="16" borderId="0" xfId="0" applyNumberFormat="1" applyFont="1" applyFill="1" applyAlignment="1">
      <alignment horizontal="center" vertical="center" wrapText="1"/>
    </xf>
    <xf numFmtId="0" fontId="5" fillId="16" borderId="0" xfId="0" applyFont="1" applyFill="1" applyAlignment="1">
      <alignment horizontal="center"/>
    </xf>
    <xf numFmtId="0" fontId="64" fillId="16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 vertical="center"/>
    </xf>
    <xf numFmtId="0" fontId="34" fillId="13" borderId="4" xfId="0" applyFont="1" applyFill="1" applyBorder="1" applyAlignment="1">
      <alignment horizontal="center"/>
    </xf>
    <xf numFmtId="0" fontId="34" fillId="13" borderId="6" xfId="0" applyFont="1" applyFill="1" applyBorder="1" applyAlignment="1">
      <alignment horizontal="center"/>
    </xf>
    <xf numFmtId="0" fontId="34" fillId="13" borderId="5" xfId="0" applyFont="1" applyFill="1" applyBorder="1" applyAlignment="1">
      <alignment horizontal="center"/>
    </xf>
    <xf numFmtId="0" fontId="55" fillId="4" borderId="10" xfId="0" applyFont="1" applyFill="1" applyBorder="1" applyAlignment="1" applyProtection="1">
      <alignment horizontal="center" vertical="center"/>
      <protection locked="0"/>
    </xf>
    <xf numFmtId="0" fontId="55" fillId="4" borderId="9" xfId="0" applyFont="1" applyFill="1" applyBorder="1" applyAlignment="1" applyProtection="1">
      <alignment horizontal="center" vertical="center"/>
      <protection locked="0"/>
    </xf>
    <xf numFmtId="0" fontId="52" fillId="13" borderId="11" xfId="0" applyFont="1" applyFill="1" applyBorder="1" applyAlignment="1">
      <alignment horizontal="center" wrapText="1"/>
    </xf>
    <xf numFmtId="0" fontId="52" fillId="13" borderId="0" xfId="0" applyFont="1" applyFill="1" applyAlignment="1">
      <alignment horizontal="center" wrapText="1"/>
    </xf>
    <xf numFmtId="0" fontId="52" fillId="13" borderId="13" xfId="0" applyFont="1" applyFill="1" applyBorder="1" applyAlignment="1">
      <alignment horizontal="center" wrapText="1"/>
    </xf>
    <xf numFmtId="164" fontId="64" fillId="13" borderId="3" xfId="0" applyNumberFormat="1" applyFont="1" applyFill="1" applyBorder="1" applyAlignment="1">
      <alignment horizontal="center" vertical="top" wrapText="1"/>
    </xf>
    <xf numFmtId="164" fontId="64" fillId="13" borderId="8" xfId="0" applyNumberFormat="1" applyFont="1" applyFill="1" applyBorder="1" applyAlignment="1">
      <alignment horizontal="center" vertical="top" wrapText="1"/>
    </xf>
    <xf numFmtId="0" fontId="45" fillId="13" borderId="10" xfId="0" applyFont="1" applyFill="1" applyBorder="1" applyAlignment="1">
      <alignment horizontal="center" vertical="center" wrapText="1"/>
    </xf>
    <xf numFmtId="0" fontId="45" fillId="13" borderId="7" xfId="0" applyFont="1" applyFill="1" applyBorder="1" applyAlignment="1">
      <alignment horizontal="center" vertical="center" wrapText="1"/>
    </xf>
    <xf numFmtId="0" fontId="45" fillId="13" borderId="12" xfId="0" applyFont="1" applyFill="1" applyBorder="1" applyAlignment="1">
      <alignment horizontal="center" vertical="center" wrapText="1"/>
    </xf>
    <xf numFmtId="8" fontId="69" fillId="15" borderId="0" xfId="0" applyNumberFormat="1" applyFont="1" applyFill="1" applyAlignment="1">
      <alignment horizontal="center" vertical="center"/>
    </xf>
    <xf numFmtId="8" fontId="69" fillId="15" borderId="13" xfId="0" applyNumberFormat="1" applyFont="1" applyFill="1" applyBorder="1" applyAlignment="1">
      <alignment horizontal="center" vertical="center"/>
    </xf>
    <xf numFmtId="0" fontId="55" fillId="4" borderId="15" xfId="0" applyFont="1" applyFill="1" applyBorder="1" applyAlignment="1" applyProtection="1">
      <alignment horizontal="center" vertical="center"/>
      <protection locked="0"/>
    </xf>
    <xf numFmtId="0" fontId="55" fillId="4" borderId="2" xfId="0" applyFont="1" applyFill="1" applyBorder="1" applyAlignment="1" applyProtection="1">
      <alignment horizontal="center" vertical="center"/>
      <protection locked="0"/>
    </xf>
    <xf numFmtId="0" fontId="58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8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4" fillId="0" borderId="1" xfId="0" applyNumberFormat="1" applyFont="1" applyBorder="1" applyAlignment="1">
      <alignment horizontal="center"/>
    </xf>
    <xf numFmtId="0" fontId="21" fillId="16" borderId="0" xfId="0" applyFont="1" applyFill="1" applyAlignment="1">
      <alignment horizontal="center" vertical="center"/>
    </xf>
    <xf numFmtId="165" fontId="37" fillId="5" borderId="23" xfId="0" applyNumberFormat="1" applyFont="1" applyFill="1" applyBorder="1" applyAlignment="1">
      <alignment horizontal="center" vertical="top"/>
    </xf>
    <xf numFmtId="165" fontId="37" fillId="5" borderId="24" xfId="0" applyNumberFormat="1" applyFont="1" applyFill="1" applyBorder="1" applyAlignment="1">
      <alignment horizontal="center" vertical="top"/>
    </xf>
    <xf numFmtId="1" fontId="37" fillId="5" borderId="23" xfId="0" applyNumberFormat="1" applyFont="1" applyFill="1" applyBorder="1" applyAlignment="1">
      <alignment horizontal="center" vertical="top"/>
    </xf>
    <xf numFmtId="1" fontId="37" fillId="5" borderId="24" xfId="0" applyNumberFormat="1" applyFont="1" applyFill="1" applyBorder="1" applyAlignment="1">
      <alignment horizontal="center" vertical="top"/>
    </xf>
    <xf numFmtId="0" fontId="36" fillId="15" borderId="11" xfId="0" applyFont="1" applyFill="1" applyBorder="1" applyAlignment="1">
      <alignment horizontal="right" vertical="center" wrapText="1"/>
    </xf>
    <xf numFmtId="0" fontId="36" fillId="15" borderId="0" xfId="0" applyFont="1" applyFill="1" applyAlignment="1">
      <alignment horizontal="right" vertical="center" wrapText="1"/>
    </xf>
    <xf numFmtId="44" fontId="59" fillId="15" borderId="11" xfId="3" applyFont="1" applyFill="1" applyBorder="1" applyAlignment="1" applyProtection="1">
      <alignment horizontal="right" vertical="center" wrapText="1"/>
    </xf>
    <xf numFmtId="44" fontId="59" fillId="15" borderId="0" xfId="3" applyFont="1" applyFill="1" applyBorder="1" applyAlignment="1" applyProtection="1">
      <alignment horizontal="right" vertical="center" wrapText="1"/>
    </xf>
    <xf numFmtId="0" fontId="8" fillId="16" borderId="0" xfId="0" applyFont="1" applyFill="1" applyAlignment="1">
      <alignment horizontal="center" wrapText="1"/>
    </xf>
    <xf numFmtId="0" fontId="24" fillId="4" borderId="1" xfId="0" applyFont="1" applyFill="1" applyBorder="1" applyAlignment="1" applyProtection="1">
      <alignment horizontal="center"/>
      <protection locked="0"/>
    </xf>
    <xf numFmtId="0" fontId="71" fillId="16" borderId="0" xfId="0" applyFont="1" applyFill="1" applyAlignment="1">
      <alignment horizontal="center" vertical="top" wrapText="1"/>
    </xf>
    <xf numFmtId="0" fontId="71" fillId="16" borderId="13" xfId="0" applyFont="1" applyFill="1" applyBorder="1" applyAlignment="1">
      <alignment horizontal="center" vertical="top" wrapText="1"/>
    </xf>
    <xf numFmtId="0" fontId="20" fillId="16" borderId="0" xfId="0" applyFont="1" applyFill="1" applyAlignment="1">
      <alignment horizontal="center"/>
    </xf>
    <xf numFmtId="0" fontId="34" fillId="12" borderId="4" xfId="0" applyFont="1" applyFill="1" applyBorder="1" applyAlignment="1">
      <alignment horizontal="center"/>
    </xf>
    <xf numFmtId="0" fontId="34" fillId="12" borderId="6" xfId="0" applyFont="1" applyFill="1" applyBorder="1" applyAlignment="1">
      <alignment horizontal="center"/>
    </xf>
    <xf numFmtId="0" fontId="34" fillId="12" borderId="5" xfId="0" applyFont="1" applyFill="1" applyBorder="1" applyAlignment="1">
      <alignment horizontal="center"/>
    </xf>
    <xf numFmtId="0" fontId="33" fillId="16" borderId="7" xfId="0" applyFont="1" applyFill="1" applyBorder="1" applyAlignment="1">
      <alignment horizontal="center"/>
    </xf>
    <xf numFmtId="49" fontId="14" fillId="4" borderId="10" xfId="0" applyNumberFormat="1" applyFont="1" applyFill="1" applyBorder="1" applyAlignment="1">
      <alignment horizontal="center" wrapText="1"/>
    </xf>
    <xf numFmtId="49" fontId="14" fillId="4" borderId="12" xfId="0" applyNumberFormat="1" applyFont="1" applyFill="1" applyBorder="1" applyAlignment="1">
      <alignment horizontal="center" wrapText="1"/>
    </xf>
    <xf numFmtId="164" fontId="34" fillId="0" borderId="37" xfId="0" applyNumberFormat="1" applyFont="1" applyBorder="1" applyAlignment="1">
      <alignment horizontal="center"/>
    </xf>
    <xf numFmtId="164" fontId="34" fillId="0" borderId="21" xfId="0" applyNumberFormat="1" applyFont="1" applyBorder="1" applyAlignment="1">
      <alignment horizontal="center"/>
    </xf>
    <xf numFmtId="164" fontId="34" fillId="0" borderId="46" xfId="0" applyNumberFormat="1" applyFont="1" applyBorder="1" applyAlignment="1">
      <alignment horizontal="center"/>
    </xf>
    <xf numFmtId="164" fontId="34" fillId="0" borderId="32" xfId="0" applyNumberFormat="1" applyFont="1" applyBorder="1" applyAlignment="1">
      <alignment horizontal="center"/>
    </xf>
    <xf numFmtId="164" fontId="34" fillId="0" borderId="33" xfId="0" applyNumberFormat="1" applyFont="1" applyBorder="1" applyAlignment="1">
      <alignment horizontal="center"/>
    </xf>
    <xf numFmtId="164" fontId="34" fillId="0" borderId="43" xfId="0" applyNumberFormat="1" applyFont="1" applyBorder="1" applyAlignment="1">
      <alignment horizontal="center"/>
    </xf>
    <xf numFmtId="0" fontId="4" fillId="16" borderId="0" xfId="0" applyFont="1" applyFill="1" applyAlignment="1">
      <alignment horizontal="center" vertical="center" wrapText="1"/>
    </xf>
    <xf numFmtId="0" fontId="4" fillId="16" borderId="13" xfId="0" applyFont="1" applyFill="1" applyBorder="1" applyAlignment="1">
      <alignment horizontal="center" vertical="center" wrapText="1"/>
    </xf>
    <xf numFmtId="0" fontId="14" fillId="16" borderId="3" xfId="0" applyFont="1" applyFill="1" applyBorder="1" applyAlignment="1">
      <alignment horizontal="center" wrapText="1"/>
    </xf>
    <xf numFmtId="0" fontId="14" fillId="16" borderId="17" xfId="0" applyFont="1" applyFill="1" applyBorder="1" applyAlignment="1">
      <alignment horizontal="center" vertical="center" wrapText="1"/>
    </xf>
    <xf numFmtId="0" fontId="14" fillId="16" borderId="18" xfId="0" applyFont="1" applyFill="1" applyBorder="1" applyAlignment="1">
      <alignment horizontal="center" vertical="center" wrapText="1"/>
    </xf>
    <xf numFmtId="164" fontId="34" fillId="12" borderId="37" xfId="0" applyNumberFormat="1" applyFont="1" applyFill="1" applyBorder="1" applyAlignment="1">
      <alignment horizontal="center"/>
    </xf>
    <xf numFmtId="164" fontId="34" fillId="12" borderId="21" xfId="0" applyNumberFormat="1" applyFont="1" applyFill="1" applyBorder="1" applyAlignment="1">
      <alignment horizontal="center"/>
    </xf>
    <xf numFmtId="164" fontId="34" fillId="12" borderId="20" xfId="0" applyNumberFormat="1" applyFont="1" applyFill="1" applyBorder="1" applyAlignment="1">
      <alignment horizontal="center"/>
    </xf>
    <xf numFmtId="0" fontId="68" fillId="16" borderId="11" xfId="0" applyFont="1" applyFill="1" applyBorder="1" applyAlignment="1">
      <alignment horizontal="right" vertical="center" wrapText="1"/>
    </xf>
    <xf numFmtId="0" fontId="68" fillId="16" borderId="0" xfId="0" applyFont="1" applyFill="1" applyAlignment="1">
      <alignment horizontal="right" vertical="center" wrapText="1"/>
    </xf>
    <xf numFmtId="0" fontId="68" fillId="16" borderId="9" xfId="0" applyFont="1" applyFill="1" applyBorder="1" applyAlignment="1">
      <alignment horizontal="right" vertical="center" wrapText="1"/>
    </xf>
    <xf numFmtId="0" fontId="68" fillId="16" borderId="3" xfId="0" applyFont="1" applyFill="1" applyBorder="1" applyAlignment="1">
      <alignment horizontal="right" vertical="center" wrapText="1"/>
    </xf>
    <xf numFmtId="164" fontId="16" fillId="16" borderId="0" xfId="3" applyNumberFormat="1" applyFont="1" applyFill="1" applyBorder="1" applyAlignment="1" applyProtection="1">
      <alignment horizontal="center" vertical="center" wrapText="1"/>
    </xf>
    <xf numFmtId="164" fontId="16" fillId="16" borderId="13" xfId="3" applyNumberFormat="1" applyFont="1" applyFill="1" applyBorder="1" applyAlignment="1" applyProtection="1">
      <alignment horizontal="center" vertical="center" wrapText="1"/>
    </xf>
    <xf numFmtId="164" fontId="16" fillId="16" borderId="3" xfId="3" applyNumberFormat="1" applyFont="1" applyFill="1" applyBorder="1" applyAlignment="1" applyProtection="1">
      <alignment horizontal="center" vertical="center" wrapText="1"/>
    </xf>
    <xf numFmtId="164" fontId="16" fillId="16" borderId="8" xfId="3" applyNumberFormat="1" applyFont="1" applyFill="1" applyBorder="1" applyAlignment="1" applyProtection="1">
      <alignment horizontal="center" vertical="center" wrapText="1"/>
    </xf>
    <xf numFmtId="0" fontId="35" fillId="0" borderId="4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28" fillId="6" borderId="35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6" borderId="36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4" fillId="0" borderId="20" xfId="0" applyNumberFormat="1" applyFont="1" applyBorder="1" applyAlignment="1">
      <alignment horizontal="center"/>
    </xf>
    <xf numFmtId="0" fontId="13" fillId="16" borderId="3" xfId="0" applyFont="1" applyFill="1" applyBorder="1" applyAlignment="1">
      <alignment horizontal="center" vertical="center"/>
    </xf>
    <xf numFmtId="0" fontId="13" fillId="16" borderId="8" xfId="0" applyFont="1" applyFill="1" applyBorder="1" applyAlignment="1">
      <alignment horizontal="center" vertical="center"/>
    </xf>
    <xf numFmtId="0" fontId="55" fillId="4" borderId="38" xfId="0" applyFont="1" applyFill="1" applyBorder="1" applyAlignment="1" applyProtection="1">
      <alignment horizontal="center" vertical="center"/>
      <protection locked="0"/>
    </xf>
    <xf numFmtId="0" fontId="55" fillId="4" borderId="39" xfId="0" applyFont="1" applyFill="1" applyBorder="1" applyAlignment="1" applyProtection="1">
      <alignment horizontal="center" vertical="center"/>
      <protection locked="0"/>
    </xf>
    <xf numFmtId="0" fontId="28" fillId="6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6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4" fillId="0" borderId="19" xfId="0" applyNumberFormat="1" applyFont="1" applyBorder="1" applyAlignment="1">
      <alignment horizontal="center"/>
    </xf>
    <xf numFmtId="164" fontId="34" fillId="0" borderId="34" xfId="0" applyNumberFormat="1" applyFont="1" applyBorder="1" applyAlignment="1">
      <alignment horizontal="center"/>
    </xf>
    <xf numFmtId="0" fontId="56" fillId="7" borderId="11" xfId="0" applyFont="1" applyFill="1" applyBorder="1" applyAlignment="1">
      <alignment horizontal="center" vertical="center"/>
    </xf>
    <xf numFmtId="0" fontId="56" fillId="7" borderId="0" xfId="0" applyFont="1" applyFill="1" applyAlignment="1">
      <alignment horizontal="center" vertical="center"/>
    </xf>
    <xf numFmtId="0" fontId="56" fillId="7" borderId="14" xfId="0" applyFont="1" applyFill="1" applyBorder="1" applyAlignment="1">
      <alignment horizontal="center" vertical="center"/>
    </xf>
    <xf numFmtId="0" fontId="13" fillId="16" borderId="3" xfId="0" applyFont="1" applyFill="1" applyBorder="1" applyAlignment="1">
      <alignment horizontal="center"/>
    </xf>
    <xf numFmtId="0" fontId="13" fillId="16" borderId="8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 wrapText="1"/>
    </xf>
    <xf numFmtId="0" fontId="52" fillId="0" borderId="24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45" fillId="5" borderId="40" xfId="0" applyFont="1" applyFill="1" applyBorder="1" applyAlignment="1">
      <alignment horizontal="center" vertical="center"/>
    </xf>
    <xf numFmtId="0" fontId="45" fillId="5" borderId="41" xfId="0" applyFont="1" applyFill="1" applyBorder="1" applyAlignment="1">
      <alignment horizontal="center" vertical="center"/>
    </xf>
    <xf numFmtId="0" fontId="45" fillId="5" borderId="42" xfId="0" applyFont="1" applyFill="1" applyBorder="1" applyAlignment="1">
      <alignment horizontal="center" vertical="center"/>
    </xf>
    <xf numFmtId="164" fontId="5" fillId="16" borderId="0" xfId="0" applyNumberFormat="1" applyFont="1" applyFill="1" applyAlignment="1">
      <alignment horizontal="center" vertical="top" wrapText="1"/>
    </xf>
    <xf numFmtId="0" fontId="14" fillId="16" borderId="0" xfId="0" applyFont="1" applyFill="1" applyAlignment="1">
      <alignment horizontal="center" vertical="center" wrapText="1"/>
    </xf>
    <xf numFmtId="0" fontId="14" fillId="16" borderId="14" xfId="0" applyFont="1" applyFill="1" applyBorder="1" applyAlignment="1">
      <alignment horizontal="center" vertical="center" wrapText="1"/>
    </xf>
    <xf numFmtId="0" fontId="5" fillId="16" borderId="0" xfId="0" applyFont="1" applyFill="1" applyAlignment="1">
      <alignment horizontal="center" vertical="center"/>
    </xf>
    <xf numFmtId="0" fontId="5" fillId="16" borderId="13" xfId="0" applyFont="1" applyFill="1" applyBorder="1" applyAlignment="1">
      <alignment horizontal="center" vertical="center"/>
    </xf>
    <xf numFmtId="0" fontId="5" fillId="16" borderId="0" xfId="0" applyFont="1" applyFill="1" applyAlignment="1">
      <alignment horizontal="center" vertical="center" wrapText="1"/>
    </xf>
    <xf numFmtId="0" fontId="5" fillId="16" borderId="13" xfId="0" applyFont="1" applyFill="1" applyBorder="1" applyAlignment="1">
      <alignment horizontal="center" vertical="center" wrapText="1"/>
    </xf>
    <xf numFmtId="0" fontId="23" fillId="16" borderId="0" xfId="0" applyFont="1" applyFill="1" applyAlignment="1">
      <alignment horizontal="center" vertical="center" wrapText="1"/>
    </xf>
    <xf numFmtId="0" fontId="22" fillId="16" borderId="0" xfId="0" applyFont="1" applyFill="1" applyAlignment="1">
      <alignment horizontal="center" wrapText="1"/>
    </xf>
    <xf numFmtId="0" fontId="34" fillId="13" borderId="1" xfId="0" applyFont="1" applyFill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4" fillId="16" borderId="13" xfId="0" applyFont="1" applyFill="1" applyBorder="1" applyAlignment="1">
      <alignment horizontal="center" vertical="center" wrapText="1"/>
    </xf>
    <xf numFmtId="0" fontId="43" fillId="14" borderId="10" xfId="0" applyFont="1" applyFill="1" applyBorder="1" applyAlignment="1">
      <alignment horizontal="center" vertical="center"/>
    </xf>
    <xf numFmtId="0" fontId="43" fillId="14" borderId="7" xfId="0" applyFont="1" applyFill="1" applyBorder="1" applyAlignment="1">
      <alignment horizontal="center" vertical="center"/>
    </xf>
    <xf numFmtId="0" fontId="43" fillId="14" borderId="35" xfId="0" applyFont="1" applyFill="1" applyBorder="1" applyAlignment="1">
      <alignment horizontal="center" vertical="center"/>
    </xf>
    <xf numFmtId="0" fontId="43" fillId="14" borderId="9" xfId="0" applyFont="1" applyFill="1" applyBorder="1" applyAlignment="1">
      <alignment horizontal="center" vertical="center"/>
    </xf>
    <xf numFmtId="0" fontId="43" fillId="14" borderId="3" xfId="0" applyFont="1" applyFill="1" applyBorder="1" applyAlignment="1">
      <alignment horizontal="center" vertical="center"/>
    </xf>
    <xf numFmtId="0" fontId="43" fillId="14" borderId="36" xfId="0" applyFont="1" applyFill="1" applyBorder="1" applyAlignment="1">
      <alignment horizontal="center" vertical="center"/>
    </xf>
    <xf numFmtId="0" fontId="26" fillId="10" borderId="6" xfId="0" applyFont="1" applyFill="1" applyBorder="1" applyAlignment="1" applyProtection="1">
      <alignment horizontal="center" vertical="center"/>
      <protection locked="0"/>
    </xf>
    <xf numFmtId="0" fontId="26" fillId="10" borderId="5" xfId="0" applyFont="1" applyFill="1" applyBorder="1" applyAlignment="1" applyProtection="1">
      <alignment horizontal="center" vertical="center"/>
      <protection locked="0"/>
    </xf>
    <xf numFmtId="0" fontId="60" fillId="5" borderId="11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60" fillId="5" borderId="14" xfId="0" applyFont="1" applyFill="1" applyBorder="1" applyAlignment="1">
      <alignment horizontal="center" vertical="center" wrapText="1"/>
    </xf>
    <xf numFmtId="164" fontId="8" fillId="5" borderId="6" xfId="0" applyNumberFormat="1" applyFont="1" applyFill="1" applyBorder="1" applyAlignment="1">
      <alignment horizontal="center" vertical="center" wrapText="1"/>
    </xf>
    <xf numFmtId="164" fontId="8" fillId="5" borderId="5" xfId="0" applyNumberFormat="1" applyFont="1" applyFill="1" applyBorder="1" applyAlignment="1">
      <alignment horizontal="center" vertical="center" wrapText="1"/>
    </xf>
    <xf numFmtId="0" fontId="61" fillId="5" borderId="11" xfId="0" applyFont="1" applyFill="1" applyBorder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61" fillId="5" borderId="14" xfId="0" applyFont="1" applyFill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164" fontId="62" fillId="5" borderId="4" xfId="0" applyNumberFormat="1" applyFont="1" applyFill="1" applyBorder="1" applyAlignment="1">
      <alignment horizontal="center" vertical="center" wrapText="1"/>
    </xf>
    <xf numFmtId="164" fontId="62" fillId="5" borderId="6" xfId="0" applyNumberFormat="1" applyFont="1" applyFill="1" applyBorder="1" applyAlignment="1">
      <alignment horizontal="center" vertical="center" wrapText="1"/>
    </xf>
    <xf numFmtId="8" fontId="42" fillId="0" borderId="24" xfId="0" applyNumberFormat="1" applyFont="1" applyBorder="1" applyAlignment="1">
      <alignment horizontal="center" vertical="center"/>
    </xf>
    <xf numFmtId="8" fontId="42" fillId="0" borderId="25" xfId="0" applyNumberFormat="1" applyFont="1" applyBorder="1" applyAlignment="1">
      <alignment horizontal="center" vertical="center"/>
    </xf>
    <xf numFmtId="0" fontId="36" fillId="15" borderId="10" xfId="0" applyFont="1" applyFill="1" applyBorder="1" applyAlignment="1">
      <alignment horizontal="right" vertical="center" wrapText="1"/>
    </xf>
    <xf numFmtId="0" fontId="36" fillId="15" borderId="7" xfId="0" applyFont="1" applyFill="1" applyBorder="1" applyAlignment="1">
      <alignment horizontal="right" vertical="center" wrapText="1"/>
    </xf>
    <xf numFmtId="1" fontId="69" fillId="15" borderId="7" xfId="0" applyNumberFormat="1" applyFont="1" applyFill="1" applyBorder="1" applyAlignment="1">
      <alignment horizontal="center" vertical="center"/>
    </xf>
    <xf numFmtId="1" fontId="69" fillId="15" borderId="12" xfId="0" applyNumberFormat="1" applyFont="1" applyFill="1" applyBorder="1" applyAlignment="1">
      <alignment horizontal="center" vertical="center"/>
    </xf>
    <xf numFmtId="0" fontId="46" fillId="13" borderId="9" xfId="0" applyFont="1" applyFill="1" applyBorder="1" applyAlignment="1">
      <alignment horizontal="center" vertical="center"/>
    </xf>
    <xf numFmtId="0" fontId="46" fillId="13" borderId="3" xfId="0" applyFont="1" applyFill="1" applyBorder="1" applyAlignment="1">
      <alignment horizontal="center" vertical="center"/>
    </xf>
    <xf numFmtId="0" fontId="36" fillId="13" borderId="11" xfId="0" applyFont="1" applyFill="1" applyBorder="1" applyAlignment="1">
      <alignment horizontal="right" vertical="center"/>
    </xf>
    <xf numFmtId="0" fontId="36" fillId="13" borderId="0" xfId="0" applyFont="1" applyFill="1" applyAlignment="1">
      <alignment horizontal="right" vertical="center"/>
    </xf>
    <xf numFmtId="0" fontId="46" fillId="5" borderId="11" xfId="0" applyFont="1" applyFill="1" applyBorder="1" applyAlignment="1">
      <alignment horizontal="right" vertical="center"/>
    </xf>
    <xf numFmtId="0" fontId="46" fillId="5" borderId="0" xfId="0" applyFont="1" applyFill="1" applyAlignment="1">
      <alignment horizontal="right" vertical="center"/>
    </xf>
    <xf numFmtId="164" fontId="70" fillId="15" borderId="0" xfId="3" applyNumberFormat="1" applyFont="1" applyFill="1" applyBorder="1" applyAlignment="1" applyProtection="1">
      <alignment horizontal="center" vertical="center" wrapText="1"/>
    </xf>
    <xf numFmtId="164" fontId="70" fillId="15" borderId="13" xfId="3" applyNumberFormat="1" applyFont="1" applyFill="1" applyBorder="1" applyAlignment="1" applyProtection="1">
      <alignment horizontal="center" vertical="center" wrapText="1"/>
    </xf>
  </cellXfs>
  <cellStyles count="5">
    <cellStyle name="Comma" xfId="4" builtinId="3"/>
    <cellStyle name="Currency" xfId="3" builtinId="4"/>
    <cellStyle name="Good 2" xfId="1" xr:uid="{938F6BE4-2213-4ECA-B2CF-2A0D7E65995F}"/>
    <cellStyle name="Normal" xfId="0" builtinId="0"/>
    <cellStyle name="Normal 2" xfId="2" xr:uid="{64A2A4A0-DCE6-4E3B-B19D-2084E3B418FF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E7DD17"/>
      <color rgb="FFA1C690"/>
      <color rgb="FF4F763D"/>
      <color rgb="FFD6E7CF"/>
      <color rgb="FFE8E8E8"/>
      <color rgb="FFEBF0E9"/>
      <color rgb="FFEDF6EA"/>
      <color rgb="FFEAF4E4"/>
      <color rgb="FFEAF6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1/relationships/FeaturePropertyBag" Target="featurePropertyBag/featurePropertyBag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2.xml"/><Relationship Id="rId5" Type="http://schemas.openxmlformats.org/officeDocument/2006/relationships/styles" Target="style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987783</xdr:colOff>
      <xdr:row>45</xdr:row>
      <xdr:rowOff>199633</xdr:rowOff>
    </xdr:from>
    <xdr:to>
      <xdr:col>9</xdr:col>
      <xdr:colOff>571064</xdr:colOff>
      <xdr:row>47</xdr:row>
      <xdr:rowOff>174712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FF6F6AB1-8C5B-450F-B558-BDA637C61AD0}"/>
            </a:ext>
          </a:extLst>
        </xdr:cNvPr>
        <xdr:cNvSpPr/>
      </xdr:nvSpPr>
      <xdr:spPr>
        <a:xfrm>
          <a:off x="1574941" y="18845147"/>
          <a:ext cx="5728863" cy="797099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/>
            <a:t>Add-On Cases - No Additional Freight</a:t>
          </a:r>
          <a:br>
            <a:rPr lang="en-US" sz="2400"/>
          </a:br>
          <a:r>
            <a:rPr lang="en-US" sz="16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Need</a:t>
          </a:r>
          <a:r>
            <a:rPr lang="en-US" sz="16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more? Pick up to 5 extra cases from our Add-on options!</a:t>
          </a:r>
          <a:endParaRPr lang="en-US" sz="1600">
            <a:effectLst/>
          </a:endParaRPr>
        </a:p>
      </xdr:txBody>
    </xdr:sp>
    <xdr:clientData/>
  </xdr:twoCellAnchor>
  <xdr:twoCellAnchor>
    <xdr:from>
      <xdr:col>6</xdr:col>
      <xdr:colOff>190500</xdr:colOff>
      <xdr:row>26</xdr:row>
      <xdr:rowOff>120763</xdr:rowOff>
    </xdr:from>
    <xdr:to>
      <xdr:col>7</xdr:col>
      <xdr:colOff>843643</xdr:colOff>
      <xdr:row>27</xdr:row>
      <xdr:rowOff>192201</xdr:rowOff>
    </xdr:to>
    <xdr:sp macro="" textlink="">
      <xdr:nvSpPr>
        <xdr:cNvPr id="34" name="Rectangle: Rounded Corners 33">
          <a:extLst>
            <a:ext uri="{FF2B5EF4-FFF2-40B4-BE49-F238E27FC236}">
              <a16:creationId xmlns:a16="http://schemas.microsoft.com/office/drawing/2014/main" id="{6BF52C4D-6075-4C3F-AAA3-E8186EABA11E}"/>
            </a:ext>
          </a:extLst>
        </xdr:cNvPr>
        <xdr:cNvSpPr/>
      </xdr:nvSpPr>
      <xdr:spPr>
        <a:xfrm>
          <a:off x="1973036" y="9836263"/>
          <a:ext cx="2422071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Essentials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14</xdr:col>
      <xdr:colOff>361950</xdr:colOff>
      <xdr:row>26</xdr:row>
      <xdr:rowOff>133692</xdr:rowOff>
    </xdr:from>
    <xdr:to>
      <xdr:col>16</xdr:col>
      <xdr:colOff>54543</xdr:colOff>
      <xdr:row>27</xdr:row>
      <xdr:rowOff>205130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97C97DB9-471D-47DF-83E4-EDDC3582CEFE}"/>
            </a:ext>
          </a:extLst>
        </xdr:cNvPr>
        <xdr:cNvSpPr/>
      </xdr:nvSpPr>
      <xdr:spPr>
        <a:xfrm>
          <a:off x="13868400" y="9982542"/>
          <a:ext cx="3026343" cy="471488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H2O® Expanded Bundle</a:t>
          </a:r>
        </a:p>
      </xdr:txBody>
    </xdr:sp>
    <xdr:clientData/>
  </xdr:twoCellAnchor>
  <xdr:twoCellAnchor>
    <xdr:from>
      <xdr:col>10</xdr:col>
      <xdr:colOff>68036</xdr:colOff>
      <xdr:row>26</xdr:row>
      <xdr:rowOff>139812</xdr:rowOff>
    </xdr:from>
    <xdr:to>
      <xdr:col>11</xdr:col>
      <xdr:colOff>815069</xdr:colOff>
      <xdr:row>27</xdr:row>
      <xdr:rowOff>211250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285FAF14-56EA-4282-86E5-2146CFFA3D06}"/>
            </a:ext>
          </a:extLst>
        </xdr:cNvPr>
        <xdr:cNvSpPr/>
      </xdr:nvSpPr>
      <xdr:spPr>
        <a:xfrm>
          <a:off x="8082643" y="9855312"/>
          <a:ext cx="2583997" cy="46604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Traditional Bundle</a:t>
          </a:r>
          <a:endParaRPr lang="en-US" sz="2400">
            <a:effectLst/>
          </a:endParaRPr>
        </a:p>
      </xdr:txBody>
    </xdr:sp>
    <xdr:clientData/>
  </xdr:twoCellAnchor>
  <xdr:twoCellAnchor editAs="absolute">
    <xdr:from>
      <xdr:col>13</xdr:col>
      <xdr:colOff>726503</xdr:colOff>
      <xdr:row>4</xdr:row>
      <xdr:rowOff>75347</xdr:rowOff>
    </xdr:from>
    <xdr:to>
      <xdr:col>15</xdr:col>
      <xdr:colOff>141395</xdr:colOff>
      <xdr:row>12</xdr:row>
      <xdr:rowOff>103981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3B8BB4-3CD0-0019-1A3E-36AC4390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88628" y="900847"/>
          <a:ext cx="1685017" cy="2521009"/>
        </a:xfrm>
        <a:prstGeom prst="rect">
          <a:avLst/>
        </a:prstGeom>
        <a:noFill/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8</xdr:col>
      <xdr:colOff>1050805</xdr:colOff>
      <xdr:row>3</xdr:row>
      <xdr:rowOff>157132</xdr:rowOff>
    </xdr:from>
    <xdr:to>
      <xdr:col>14</xdr:col>
      <xdr:colOff>64176</xdr:colOff>
      <xdr:row>9</xdr:row>
      <xdr:rowOff>183568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FA13BA1-CACE-47C1-EF50-2CA454FE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6930" y="776257"/>
          <a:ext cx="7315996" cy="1867936"/>
        </a:xfrm>
        <a:prstGeom prst="rect">
          <a:avLst/>
        </a:prstGeom>
        <a:effectLst>
          <a:innerShdw blurRad="63500" dist="50800" dir="18900000">
            <a:prstClr val="black">
              <a:alpha val="50000"/>
            </a:prstClr>
          </a:innerShdw>
        </a:effectLst>
      </xdr:spPr>
    </xdr:pic>
    <xdr:clientData/>
  </xdr:twoCellAnchor>
  <xdr:twoCellAnchor editAs="absolute">
    <xdr:from>
      <xdr:col>8</xdr:col>
      <xdr:colOff>289939</xdr:colOff>
      <xdr:row>12</xdr:row>
      <xdr:rowOff>201838</xdr:rowOff>
    </xdr:from>
    <xdr:to>
      <xdr:col>14</xdr:col>
      <xdr:colOff>1180953</xdr:colOff>
      <xdr:row>13</xdr:row>
      <xdr:rowOff>272595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AE992235-B5C4-CF5C-6D4E-671A2D9B13D9}"/>
            </a:ext>
          </a:extLst>
        </xdr:cNvPr>
        <xdr:cNvSpPr/>
      </xdr:nvSpPr>
      <xdr:spPr>
        <a:xfrm>
          <a:off x="7386064" y="3519713"/>
          <a:ext cx="9193639" cy="896257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latin typeface="+mn-lt"/>
              <a:ea typeface="+mn-ea"/>
              <a:cs typeface="+mn-cs"/>
            </a:rPr>
            <a:t>Choose your bundle!  We will provide you a well assorted variety of highly desirable, interesting plants your customers will love.  Two varieties per case guaranteed! </a:t>
          </a:r>
        </a:p>
        <a:p>
          <a:pPr marL="0" indent="0" algn="ctr"/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 fLocksWithSheet="0"/>
  </xdr:twoCellAnchor>
  <xdr:twoCellAnchor>
    <xdr:from>
      <xdr:col>5</xdr:col>
      <xdr:colOff>730251</xdr:colOff>
      <xdr:row>42</xdr:row>
      <xdr:rowOff>229620</xdr:rowOff>
    </xdr:from>
    <xdr:to>
      <xdr:col>7</xdr:col>
      <xdr:colOff>933451</xdr:colOff>
      <xdr:row>43</xdr:row>
      <xdr:rowOff>152400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902267D-00FC-446C-8940-C16412632F60}"/>
            </a:ext>
          </a:extLst>
        </xdr:cNvPr>
        <xdr:cNvSpPr/>
      </xdr:nvSpPr>
      <xdr:spPr>
        <a:xfrm>
          <a:off x="1317626" y="17660370"/>
          <a:ext cx="3155950" cy="494280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Deco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ctr"/>
          <a:endParaRPr lang="en-US" sz="6000"/>
        </a:p>
      </xdr:txBody>
    </xdr:sp>
    <xdr:clientData/>
  </xdr:twoCellAnchor>
  <xdr:twoCellAnchor editAs="absolute">
    <xdr:from>
      <xdr:col>6</xdr:col>
      <xdr:colOff>291754</xdr:colOff>
      <xdr:row>14</xdr:row>
      <xdr:rowOff>111125</xdr:rowOff>
    </xdr:from>
    <xdr:to>
      <xdr:col>8</xdr:col>
      <xdr:colOff>941569</xdr:colOff>
      <xdr:row>25</xdr:row>
      <xdr:rowOff>1379455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A23134-2E1C-3505-2E0B-9A27F206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5504" y="4635500"/>
          <a:ext cx="4412190" cy="4665580"/>
        </a:xfrm>
        <a:prstGeom prst="rect">
          <a:avLst/>
        </a:prstGeom>
      </xdr:spPr>
    </xdr:pic>
    <xdr:clientData/>
  </xdr:twoCellAnchor>
  <xdr:twoCellAnchor editAs="absolute">
    <xdr:from>
      <xdr:col>9</xdr:col>
      <xdr:colOff>1147189</xdr:colOff>
      <xdr:row>14</xdr:row>
      <xdr:rowOff>79222</xdr:rowOff>
    </xdr:from>
    <xdr:to>
      <xdr:col>12</xdr:col>
      <xdr:colOff>886385</xdr:colOff>
      <xdr:row>25</xdr:row>
      <xdr:rowOff>1669142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28C160-322E-D3B9-9C3B-DFF0166F0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18" t="-1574"/>
        <a:stretch>
          <a:fillRect/>
        </a:stretch>
      </xdr:blipFill>
      <xdr:spPr>
        <a:xfrm>
          <a:off x="9497439" y="4603597"/>
          <a:ext cx="4866821" cy="4987170"/>
        </a:xfrm>
        <a:prstGeom prst="rect">
          <a:avLst/>
        </a:prstGeom>
      </xdr:spPr>
    </xdr:pic>
    <xdr:clientData/>
  </xdr:twoCellAnchor>
  <xdr:twoCellAnchor editAs="absolute">
    <xdr:from>
      <xdr:col>14</xdr:col>
      <xdr:colOff>498464</xdr:colOff>
      <xdr:row>14</xdr:row>
      <xdr:rowOff>117927</xdr:rowOff>
    </xdr:from>
    <xdr:to>
      <xdr:col>17</xdr:col>
      <xdr:colOff>1100774</xdr:colOff>
      <xdr:row>25</xdr:row>
      <xdr:rowOff>1324428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8BF9F34-37AD-369B-204F-246F29B04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897214" y="4642302"/>
          <a:ext cx="4761560" cy="4603751"/>
        </a:xfrm>
        <a:prstGeom prst="rect">
          <a:avLst/>
        </a:prstGeom>
      </xdr:spPr>
    </xdr:pic>
    <xdr:clientData/>
  </xdr:twoCellAnchor>
  <xdr:twoCellAnchor editAs="absolute">
    <xdr:from>
      <xdr:col>5</xdr:col>
      <xdr:colOff>382700</xdr:colOff>
      <xdr:row>29</xdr:row>
      <xdr:rowOff>22113</xdr:rowOff>
    </xdr:from>
    <xdr:to>
      <xdr:col>8</xdr:col>
      <xdr:colOff>461576</xdr:colOff>
      <xdr:row>41</xdr:row>
      <xdr:rowOff>214110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35953E9-5AE9-F32C-7A72-7C35FEFB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1700" y="10785363"/>
          <a:ext cx="5016001" cy="6462622"/>
        </a:xfrm>
        <a:prstGeom prst="rect">
          <a:avLst/>
        </a:prstGeom>
      </xdr:spPr>
    </xdr:pic>
    <xdr:clientData/>
  </xdr:twoCellAnchor>
  <xdr:twoCellAnchor editAs="absolute">
    <xdr:from>
      <xdr:col>14</xdr:col>
      <xdr:colOff>356658</xdr:colOff>
      <xdr:row>29</xdr:row>
      <xdr:rowOff>99273</xdr:rowOff>
    </xdr:from>
    <xdr:to>
      <xdr:col>18</xdr:col>
      <xdr:colOff>160869</xdr:colOff>
      <xdr:row>37</xdr:row>
      <xdr:rowOff>378672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60B9D16-A115-CD17-91C6-3B99A645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5408" y="10862523"/>
          <a:ext cx="5328711" cy="4629149"/>
        </a:xfrm>
        <a:prstGeom prst="rect">
          <a:avLst/>
        </a:prstGeom>
      </xdr:spPr>
    </xdr:pic>
    <xdr:clientData/>
  </xdr:twoCellAnchor>
  <xdr:twoCellAnchor editAs="absolute">
    <xdr:from>
      <xdr:col>8</xdr:col>
      <xdr:colOff>214723</xdr:colOff>
      <xdr:row>30</xdr:row>
      <xdr:rowOff>26307</xdr:rowOff>
    </xdr:from>
    <xdr:to>
      <xdr:col>10</xdr:col>
      <xdr:colOff>88601</xdr:colOff>
      <xdr:row>36</xdr:row>
      <xdr:rowOff>308428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01B6D3-47DB-D9B1-D1FD-6241B0598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310848" y="11091182"/>
          <a:ext cx="2556753" cy="3917496"/>
        </a:xfrm>
        <a:prstGeom prst="rect">
          <a:avLst/>
        </a:prstGeom>
      </xdr:spPr>
    </xdr:pic>
    <xdr:clientData/>
  </xdr:twoCellAnchor>
  <xdr:twoCellAnchor editAs="oneCell">
    <xdr:from>
      <xdr:col>6</xdr:col>
      <xdr:colOff>214093</xdr:colOff>
      <xdr:row>25</xdr:row>
      <xdr:rowOff>1394732</xdr:rowOff>
    </xdr:from>
    <xdr:to>
      <xdr:col>8</xdr:col>
      <xdr:colOff>831757</xdr:colOff>
      <xdr:row>25</xdr:row>
      <xdr:rowOff>1732189</xdr:rowOff>
    </xdr:to>
    <xdr:pic>
      <xdr:nvPicPr>
        <xdr:cNvPr id="15" name="Picture 14" descr="image">
          <a:extLst>
            <a:ext uri="{FF2B5EF4-FFF2-40B4-BE49-F238E27FC236}">
              <a16:creationId xmlns:a16="http://schemas.microsoft.com/office/drawing/2014/main" id="{898C1946-E55E-EE4B-F0D6-AAB256832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1343" y="9316357"/>
          <a:ext cx="4380040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875393</xdr:colOff>
      <xdr:row>25</xdr:row>
      <xdr:rowOff>81153</xdr:rowOff>
    </xdr:from>
    <xdr:to>
      <xdr:col>13</xdr:col>
      <xdr:colOff>735015</xdr:colOff>
      <xdr:row>25</xdr:row>
      <xdr:rowOff>385083</xdr:rowOff>
    </xdr:to>
    <xdr:pic>
      <xdr:nvPicPr>
        <xdr:cNvPr id="17" name="Picture 16" descr="image">
          <a:extLst>
            <a:ext uri="{FF2B5EF4-FFF2-40B4-BE49-F238E27FC236}">
              <a16:creationId xmlns:a16="http://schemas.microsoft.com/office/drawing/2014/main" id="{FAE0ED08-F304-9FCC-790F-B648C8F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5643" y="8002778"/>
          <a:ext cx="5971497" cy="30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13607</xdr:colOff>
      <xdr:row>25</xdr:row>
      <xdr:rowOff>1373676</xdr:rowOff>
    </xdr:from>
    <xdr:to>
      <xdr:col>17</xdr:col>
      <xdr:colOff>1052284</xdr:colOff>
      <xdr:row>25</xdr:row>
      <xdr:rowOff>1738538</xdr:rowOff>
    </xdr:to>
    <xdr:pic>
      <xdr:nvPicPr>
        <xdr:cNvPr id="19" name="Picture 18" descr="image">
          <a:extLst>
            <a:ext uri="{FF2B5EF4-FFF2-40B4-BE49-F238E27FC236}">
              <a16:creationId xmlns:a16="http://schemas.microsoft.com/office/drawing/2014/main" id="{14E18987-2426-0A5B-0D19-9EF13D37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5357" y="9295301"/>
          <a:ext cx="3864428" cy="36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1493384</xdr:colOff>
      <xdr:row>36</xdr:row>
      <xdr:rowOff>188684</xdr:rowOff>
    </xdr:from>
    <xdr:ext cx="3233283" cy="65594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098EF4-6E3E-412D-8F10-989A7B799288}"/>
            </a:ext>
          </a:extLst>
        </xdr:cNvPr>
        <xdr:cNvSpPr txBox="1"/>
      </xdr:nvSpPr>
      <xdr:spPr>
        <a:xfrm>
          <a:off x="5033509" y="14888934"/>
          <a:ext cx="3233283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Deco Display Rack</a:t>
          </a:r>
        </a:p>
        <a:p>
          <a:pPr marL="0" indent="0" algn="ctr"/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shipped </a:t>
          </a:r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unassembled</a:t>
          </a:r>
        </a:p>
      </xdr:txBody>
    </xdr:sp>
    <xdr:clientData/>
  </xdr:oneCellAnchor>
  <xdr:oneCellAnchor>
    <xdr:from>
      <xdr:col>6</xdr:col>
      <xdr:colOff>1448706</xdr:colOff>
      <xdr:row>37</xdr:row>
      <xdr:rowOff>247649</xdr:rowOff>
    </xdr:from>
    <xdr:ext cx="502558" cy="40543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B65A1A7-B6C2-44FC-BE12-F768C3F2628E}"/>
            </a:ext>
          </a:extLst>
        </xdr:cNvPr>
        <xdr:cNvSpPr txBox="1"/>
      </xdr:nvSpPr>
      <xdr:spPr>
        <a:xfrm>
          <a:off x="3239406" y="15506699"/>
          <a:ext cx="50255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*</a:t>
          </a:r>
        </a:p>
      </xdr:txBody>
    </xdr:sp>
    <xdr:clientData/>
  </xdr:oneCellAnchor>
  <xdr:twoCellAnchor>
    <xdr:from>
      <xdr:col>9</xdr:col>
      <xdr:colOff>1425576</xdr:colOff>
      <xdr:row>42</xdr:row>
      <xdr:rowOff>255474</xdr:rowOff>
    </xdr:from>
    <xdr:to>
      <xdr:col>11</xdr:col>
      <xdr:colOff>663575</xdr:colOff>
      <xdr:row>43</xdr:row>
      <xdr:rowOff>161925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ABFA2914-7265-40BB-A874-C91735307F4E}"/>
            </a:ext>
          </a:extLst>
        </xdr:cNvPr>
        <xdr:cNvSpPr/>
      </xdr:nvSpPr>
      <xdr:spPr>
        <a:xfrm>
          <a:off x="9788526" y="17857674"/>
          <a:ext cx="2628899" cy="4779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Glass Only Bundle</a:t>
          </a:r>
          <a:endParaRPr lang="en-US" sz="6000"/>
        </a:p>
      </xdr:txBody>
    </xdr:sp>
    <xdr:clientData/>
  </xdr:twoCellAnchor>
  <xdr:twoCellAnchor editAs="absolute">
    <xdr:from>
      <xdr:col>10</xdr:col>
      <xdr:colOff>418752</xdr:colOff>
      <xdr:row>28</xdr:row>
      <xdr:rowOff>257394</xdr:rowOff>
    </xdr:from>
    <xdr:to>
      <xdr:col>13</xdr:col>
      <xdr:colOff>81297</xdr:colOff>
      <xdr:row>41</xdr:row>
      <xdr:rowOff>237675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86-B6BF-9A78-53CF-D05D0C4D6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7752" y="10719019"/>
          <a:ext cx="4345670" cy="655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21141</xdr:colOff>
      <xdr:row>42</xdr:row>
      <xdr:rowOff>237134</xdr:rowOff>
    </xdr:from>
    <xdr:to>
      <xdr:col>15</xdr:col>
      <xdr:colOff>1966508</xdr:colOff>
      <xdr:row>43</xdr:row>
      <xdr:rowOff>168985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FDD09AA1-272D-4E14-9DD5-C043EEB60F77}"/>
            </a:ext>
          </a:extLst>
        </xdr:cNvPr>
        <xdr:cNvSpPr/>
      </xdr:nvSpPr>
      <xdr:spPr>
        <a:xfrm>
          <a:off x="15261141" y="17839334"/>
          <a:ext cx="3278867" cy="503351"/>
        </a:xfrm>
        <a:prstGeom prst="roundRect">
          <a:avLst>
            <a:gd name="adj" fmla="val 13914"/>
          </a:avLst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Climb-itt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6</xdr:col>
      <xdr:colOff>331303</xdr:colOff>
      <xdr:row>98</xdr:row>
      <xdr:rowOff>138044</xdr:rowOff>
    </xdr:from>
    <xdr:to>
      <xdr:col>7</xdr:col>
      <xdr:colOff>1242390</xdr:colOff>
      <xdr:row>100</xdr:row>
      <xdr:rowOff>365125</xdr:rowOff>
    </xdr:to>
    <xdr:sp macro="" textlink="">
      <xdr:nvSpPr>
        <xdr:cNvPr id="23" name="Rectangle: Rounded Corners 22">
          <a:extLst>
            <a:ext uri="{FF2B5EF4-FFF2-40B4-BE49-F238E27FC236}">
              <a16:creationId xmlns:a16="http://schemas.microsoft.com/office/drawing/2014/main" id="{783B3075-309B-4A30-ADB7-E3A07254E73B}"/>
            </a:ext>
          </a:extLst>
        </xdr:cNvPr>
        <xdr:cNvSpPr/>
      </xdr:nvSpPr>
      <xdr:spPr>
        <a:xfrm>
          <a:off x="2458553" y="37095044"/>
          <a:ext cx="2831962" cy="703331"/>
        </a:xfrm>
        <a:prstGeom prst="roundRect">
          <a:avLst>
            <a:gd name="adj" fmla="val 18889"/>
          </a:avLst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i="1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50%</a:t>
          </a:r>
          <a:r>
            <a:rPr lang="en-US" sz="1800" i="1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masis MT Pro Black" panose="02040A04050005020304" pitchFamily="18" charset="0"/>
              <a:ea typeface="+mn-ea"/>
              <a:cs typeface="+mn-cs"/>
            </a:rPr>
            <a:t> Select DocBlock Premier™ !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800" i="1">
            <a:solidFill>
              <a:schemeClr val="tx1"/>
            </a:solidFill>
            <a:effectLst>
              <a:outerShdw blurRad="50800" dist="50800" dir="5400000" sx="1000" sy="1000" algn="ctr" rotWithShape="0">
                <a:srgbClr val="000000">
                  <a:alpha val="43000"/>
                </a:srgbClr>
              </a:outerShdw>
            </a:effectLst>
            <a:latin typeface="Baguet Script" panose="00000500000000000000" pitchFamily="2" charset="0"/>
            <a:ea typeface="+mn-ea"/>
            <a:cs typeface="+mn-cs"/>
          </a:endParaRPr>
        </a:p>
      </xdr:txBody>
    </xdr:sp>
    <xdr:clientData/>
  </xdr:twoCellAnchor>
  <xdr:twoCellAnchor editAs="absolute">
    <xdr:from>
      <xdr:col>7</xdr:col>
      <xdr:colOff>1008597</xdr:colOff>
      <xdr:row>38</xdr:row>
      <xdr:rowOff>158750</xdr:rowOff>
    </xdr:from>
    <xdr:to>
      <xdr:col>9</xdr:col>
      <xdr:colOff>633809</xdr:colOff>
      <xdr:row>41</xdr:row>
      <xdr:rowOff>176556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B0C4765-744E-B878-7791-61CEBD191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722" y="15684500"/>
          <a:ext cx="2657337" cy="15259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8</xdr:col>
      <xdr:colOff>91207</xdr:colOff>
      <xdr:row>25</xdr:row>
      <xdr:rowOff>151946</xdr:rowOff>
    </xdr:from>
    <xdr:to>
      <xdr:col>9</xdr:col>
      <xdr:colOff>880365</xdr:colOff>
      <xdr:row>25</xdr:row>
      <xdr:rowOff>1474405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480FF81D-B94B-4E68-248D-90B8EC80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7332" y="8073571"/>
          <a:ext cx="2043283" cy="132245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17</xdr:col>
      <xdr:colOff>96450</xdr:colOff>
      <xdr:row>25</xdr:row>
      <xdr:rowOff>131536</xdr:rowOff>
    </xdr:from>
    <xdr:to>
      <xdr:col>18</xdr:col>
      <xdr:colOff>836812</xdr:colOff>
      <xdr:row>25</xdr:row>
      <xdr:rowOff>1496786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9A75525-047F-2EAE-AEDC-0977884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4450" y="8053161"/>
          <a:ext cx="2105612" cy="13652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12</xdr:col>
      <xdr:colOff>644772</xdr:colOff>
      <xdr:row>38</xdr:row>
      <xdr:rowOff>70302</xdr:rowOff>
    </xdr:from>
    <xdr:to>
      <xdr:col>14</xdr:col>
      <xdr:colOff>748255</xdr:colOff>
      <xdr:row>41</xdr:row>
      <xdr:rowOff>32184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7095BD3-ECB0-83D2-0FFE-3300FE3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647" y="15596052"/>
          <a:ext cx="2024358" cy="147000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12</xdr:col>
      <xdr:colOff>103994</xdr:colOff>
      <xdr:row>25</xdr:row>
      <xdr:rowOff>323386</xdr:rowOff>
    </xdr:from>
    <xdr:to>
      <xdr:col>13</xdr:col>
      <xdr:colOff>904529</xdr:colOff>
      <xdr:row>25</xdr:row>
      <xdr:rowOff>1674747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D45370A-EAD9-7218-E62E-97AB9FE2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869" y="8245011"/>
          <a:ext cx="1784785" cy="13513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absolute">
    <xdr:from>
      <xdr:col>17</xdr:col>
      <xdr:colOff>266467</xdr:colOff>
      <xdr:row>34</xdr:row>
      <xdr:rowOff>6916</xdr:rowOff>
    </xdr:from>
    <xdr:to>
      <xdr:col>19</xdr:col>
      <xdr:colOff>214551</xdr:colOff>
      <xdr:row>37</xdr:row>
      <xdr:rowOff>275091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6A516FC-3FB3-8B56-2D9F-CE82F04F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3367" y="14008666"/>
          <a:ext cx="2218209" cy="15254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11</xdr:col>
      <xdr:colOff>612322</xdr:colOff>
      <xdr:row>60</xdr:row>
      <xdr:rowOff>353786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5CFCA38-A21C-B552-A1F2-E10705EDDDF1}"/>
            </a:ext>
          </a:extLst>
        </xdr:cNvPr>
        <xdr:cNvSpPr txBox="1"/>
      </xdr:nvSpPr>
      <xdr:spPr>
        <a:xfrm>
          <a:off x="10736036" y="27064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197304</xdr:colOff>
      <xdr:row>31</xdr:row>
      <xdr:rowOff>108857</xdr:rowOff>
    </xdr:from>
    <xdr:to>
      <xdr:col>15</xdr:col>
      <xdr:colOff>309538</xdr:colOff>
      <xdr:row>32</xdr:row>
      <xdr:rowOff>1095568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581C8E-ED7F-F09B-266B-2EDE2DA2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42054" y="11475357"/>
          <a:ext cx="1445734" cy="138358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900793</xdr:colOff>
      <xdr:row>27</xdr:row>
      <xdr:rowOff>256719</xdr:rowOff>
    </xdr:from>
    <xdr:to>
      <xdr:col>10</xdr:col>
      <xdr:colOff>920045</xdr:colOff>
      <xdr:row>32</xdr:row>
      <xdr:rowOff>27859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702407B-70AE-4CC5-AFE3-2B2480EB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87543" y="10400844"/>
          <a:ext cx="1448002" cy="13903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378605</xdr:colOff>
      <xdr:row>1055</xdr:row>
      <xdr:rowOff>156577</xdr:rowOff>
    </xdr:from>
    <xdr:to>
      <xdr:col>14</xdr:col>
      <xdr:colOff>806996</xdr:colOff>
      <xdr:row>1065</xdr:row>
      <xdr:rowOff>339248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06E2098-8734-4EC4-C39F-C1E17B3E8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11345" y="82202056"/>
          <a:ext cx="7508206" cy="4932123"/>
        </a:xfrm>
        <a:prstGeom prst="rect">
          <a:avLst/>
        </a:prstGeom>
      </xdr:spPr>
    </xdr:pic>
    <xdr:clientData/>
  </xdr:twoCellAnchor>
  <xdr:twoCellAnchor>
    <xdr:from>
      <xdr:col>15</xdr:col>
      <xdr:colOff>738381</xdr:colOff>
      <xdr:row>46</xdr:row>
      <xdr:rowOff>458544</xdr:rowOff>
    </xdr:from>
    <xdr:to>
      <xdr:col>17</xdr:col>
      <xdr:colOff>156576</xdr:colOff>
      <xdr:row>47</xdr:row>
      <xdr:rowOff>404486</xdr:rowOff>
    </xdr:to>
    <xdr:sp macro="" textlink="">
      <xdr:nvSpPr>
        <xdr:cNvPr id="30" name="Rectangle: Rounded Corners 29">
          <a:extLst>
            <a:ext uri="{FF2B5EF4-FFF2-40B4-BE49-F238E27FC236}">
              <a16:creationId xmlns:a16="http://schemas.microsoft.com/office/drawing/2014/main" id="{5D6F7A02-AC79-4AA5-A721-BE7B09C8CC0E}"/>
            </a:ext>
          </a:extLst>
        </xdr:cNvPr>
        <xdr:cNvSpPr/>
      </xdr:nvSpPr>
      <xdr:spPr>
        <a:xfrm>
          <a:off x="15691326" y="19443304"/>
          <a:ext cx="2236551" cy="428716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Bundle</a:t>
          </a:r>
          <a:r>
            <a:rPr lang="en-US" sz="2000" baseline="0">
              <a:effectLst/>
            </a:rPr>
            <a:t> Sub 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</a:endParaRPr>
        </a:p>
      </xdr:txBody>
    </xdr:sp>
    <xdr:clientData/>
  </xdr:twoCellAnchor>
  <xdr:twoCellAnchor>
    <xdr:from>
      <xdr:col>15</xdr:col>
      <xdr:colOff>628539</xdr:colOff>
      <xdr:row>61</xdr:row>
      <xdr:rowOff>25161</xdr:rowOff>
    </xdr:from>
    <xdr:to>
      <xdr:col>16</xdr:col>
      <xdr:colOff>602443</xdr:colOff>
      <xdr:row>61</xdr:row>
      <xdr:rowOff>546636</xdr:rowOff>
    </xdr:to>
    <xdr:sp macro="" textlink="">
      <xdr:nvSpPr>
        <xdr:cNvPr id="31" name="Rectangle: Rounded Corners 30">
          <a:extLst>
            <a:ext uri="{FF2B5EF4-FFF2-40B4-BE49-F238E27FC236}">
              <a16:creationId xmlns:a16="http://schemas.microsoft.com/office/drawing/2014/main" id="{DCE4614E-F233-4E3D-9884-5459F0388CB2}"/>
            </a:ext>
          </a:extLst>
        </xdr:cNvPr>
        <xdr:cNvSpPr/>
      </xdr:nvSpPr>
      <xdr:spPr>
        <a:xfrm>
          <a:off x="15950182" y="26749590"/>
          <a:ext cx="1974154" cy="5214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769176</xdr:colOff>
      <xdr:row>1053</xdr:row>
      <xdr:rowOff>456027</xdr:rowOff>
    </xdr:from>
    <xdr:to>
      <xdr:col>13</xdr:col>
      <xdr:colOff>234210</xdr:colOff>
      <xdr:row>1055</xdr:row>
      <xdr:rowOff>286403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4C5CA3EA-B636-40E0-911C-A78A6BAC7524}"/>
            </a:ext>
          </a:extLst>
        </xdr:cNvPr>
        <xdr:cNvSpPr/>
      </xdr:nvSpPr>
      <xdr:spPr>
        <a:xfrm>
          <a:off x="9278176" y="263600027"/>
          <a:ext cx="3957659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9</xdr:col>
      <xdr:colOff>596030</xdr:colOff>
      <xdr:row>1065</xdr:row>
      <xdr:rowOff>322024</xdr:rowOff>
    </xdr:from>
    <xdr:to>
      <xdr:col>14</xdr:col>
      <xdr:colOff>991643</xdr:colOff>
      <xdr:row>1067</xdr:row>
      <xdr:rowOff>333375</xdr:rowOff>
    </xdr:to>
    <xdr:sp macro="" textlink="">
      <xdr:nvSpPr>
        <xdr:cNvPr id="39" name="Rectangle: Rounded Corners 38">
          <a:extLst>
            <a:ext uri="{FF2B5EF4-FFF2-40B4-BE49-F238E27FC236}">
              <a16:creationId xmlns:a16="http://schemas.microsoft.com/office/drawing/2014/main" id="{8512688E-835F-4873-A856-5AA5F3EBF917}"/>
            </a:ext>
          </a:extLst>
        </xdr:cNvPr>
        <xdr:cNvSpPr/>
      </xdr:nvSpPr>
      <xdr:spPr>
        <a:xfrm>
          <a:off x="7676280" y="269069899"/>
          <a:ext cx="7253613" cy="90035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>
    <xdr:from>
      <xdr:col>15</xdr:col>
      <xdr:colOff>349249</xdr:colOff>
      <xdr:row>1071</xdr:row>
      <xdr:rowOff>333374</xdr:rowOff>
    </xdr:from>
    <xdr:to>
      <xdr:col>17</xdr:col>
      <xdr:colOff>206374</xdr:colOff>
      <xdr:row>1071</xdr:row>
      <xdr:rowOff>1301749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8CAD736-185D-4B10-9A8B-D905667DFD87}"/>
            </a:ext>
          </a:extLst>
        </xdr:cNvPr>
        <xdr:cNvSpPr/>
      </xdr:nvSpPr>
      <xdr:spPr>
        <a:xfrm>
          <a:off x="15255874" y="90884374"/>
          <a:ext cx="2682875" cy="96837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effectLst/>
            </a:rPr>
            <a:t>Buyer's Choice</a:t>
          </a:r>
          <a:r>
            <a:rPr lang="en-US" sz="2400" baseline="0">
              <a:effectLst/>
            </a:rPr>
            <a:t> </a:t>
          </a:r>
          <a:r>
            <a:rPr lang="en-US" sz="2400">
              <a:effectLst/>
            </a:rPr>
            <a:t>Order </a:t>
          </a:r>
          <a:r>
            <a:rPr lang="en-US" sz="2400" baseline="0">
              <a:effectLst/>
            </a:rPr>
            <a:t>Total: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  <xdr:twoCellAnchor>
    <xdr:from>
      <xdr:col>10</xdr:col>
      <xdr:colOff>190500</xdr:colOff>
      <xdr:row>56</xdr:row>
      <xdr:rowOff>123875</xdr:rowOff>
    </xdr:from>
    <xdr:to>
      <xdr:col>14</xdr:col>
      <xdr:colOff>1156729</xdr:colOff>
      <xdr:row>57</xdr:row>
      <xdr:rowOff>428625</xdr:rowOff>
    </xdr:to>
    <xdr:sp macro="" textlink="">
      <xdr:nvSpPr>
        <xdr:cNvPr id="22" name="Rectangle: Rounded Corners 21">
          <a:extLst>
            <a:ext uri="{FF2B5EF4-FFF2-40B4-BE49-F238E27FC236}">
              <a16:creationId xmlns:a16="http://schemas.microsoft.com/office/drawing/2014/main" id="{CE5F2F90-717E-44BA-891E-E7950F9FDF72}"/>
            </a:ext>
          </a:extLst>
        </xdr:cNvPr>
        <xdr:cNvSpPr/>
      </xdr:nvSpPr>
      <xdr:spPr>
        <a:xfrm>
          <a:off x="8699500" y="24142750"/>
          <a:ext cx="6395479" cy="892125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effectLst/>
            </a:rPr>
            <a:t>Find your state then select the corresponding Zone Check Box to the right. Shipping charge is per pallet. </a:t>
          </a:r>
        </a:p>
      </xdr:txBody>
    </xdr:sp>
    <xdr:clientData/>
  </xdr:twoCellAnchor>
  <xdr:twoCellAnchor editAs="oneCell">
    <xdr:from>
      <xdr:col>10</xdr:col>
      <xdr:colOff>68643</xdr:colOff>
      <xdr:row>47</xdr:row>
      <xdr:rowOff>222250</xdr:rowOff>
    </xdr:from>
    <xdr:to>
      <xdr:col>14</xdr:col>
      <xdr:colOff>1114568</xdr:colOff>
      <xdr:row>56</xdr:row>
      <xdr:rowOff>62332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DC22372-7C29-4455-9E9F-082AB413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7643" y="19700875"/>
          <a:ext cx="6665675" cy="4380332"/>
        </a:xfrm>
        <a:prstGeom prst="rect">
          <a:avLst/>
        </a:prstGeom>
      </xdr:spPr>
    </xdr:pic>
    <xdr:clientData/>
  </xdr:twoCellAnchor>
  <xdr:twoCellAnchor>
    <xdr:from>
      <xdr:col>10</xdr:col>
      <xdr:colOff>1636908</xdr:colOff>
      <xdr:row>45</xdr:row>
      <xdr:rowOff>306111</xdr:rowOff>
    </xdr:from>
    <xdr:to>
      <xdr:col>14</xdr:col>
      <xdr:colOff>165317</xdr:colOff>
      <xdr:row>47</xdr:row>
      <xdr:rowOff>193183</xdr:rowOff>
    </xdr:to>
    <xdr:sp macro="" textlink="">
      <xdr:nvSpPr>
        <xdr:cNvPr id="32" name="Rectangle: Rounded Corners 31">
          <a:extLst>
            <a:ext uri="{FF2B5EF4-FFF2-40B4-BE49-F238E27FC236}">
              <a16:creationId xmlns:a16="http://schemas.microsoft.com/office/drawing/2014/main" id="{1334B55C-4C5A-44FF-9BBD-E957FFC09140}"/>
            </a:ext>
          </a:extLst>
        </xdr:cNvPr>
        <xdr:cNvSpPr/>
      </xdr:nvSpPr>
      <xdr:spPr>
        <a:xfrm>
          <a:off x="10168587" y="18988718"/>
          <a:ext cx="3984873" cy="703501"/>
        </a:xfrm>
        <a:prstGeom prst="roundRect">
          <a:avLst/>
        </a:prstGeom>
        <a:solidFill>
          <a:srgbClr val="4F763D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effectLst/>
              <a:latin typeface="Georgia" panose="02040502050405020303" pitchFamily="18" charset="0"/>
            </a:rPr>
            <a:t>Zone</a:t>
          </a:r>
          <a:r>
            <a:rPr lang="en-US" sz="3200" baseline="0">
              <a:effectLst/>
              <a:latin typeface="Georgia" panose="02040502050405020303" pitchFamily="18" charset="0"/>
            </a:rPr>
            <a:t> Shipping Map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600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heplantcompany.sharepoint.com/sites/TPCSales/Shared%20Documents/!%20Client%20Availabilty/Zone%20Avails/2025/WK%2043/Week%2043%20leafjoy%20Availability.xlsx" TargetMode="External"/><Relationship Id="rId1" Type="http://schemas.openxmlformats.org/officeDocument/2006/relationships/externalLinkPath" Target="/sites/TPCSales/Shared%20Documents/!%20Client%20Availabilty/Zone%20Avails/2025/WK%2043/Week%2043%20leafjoy%20Availabili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vailability"/>
      <sheetName val="Min table"/>
    </sheetNames>
    <sheetDataSet>
      <sheetData sheetId="0"/>
      <sheetData sheetId="1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011F-0566-4282-8379-67A0852A44FE}">
  <sheetPr codeName="Sheet1" filterMode="1">
    <pageSetUpPr fitToPage="1"/>
  </sheetPr>
  <dimension ref="C1:XEN1078"/>
  <sheetViews>
    <sheetView showGridLines="0" tabSelected="1" zoomScale="60" zoomScaleNormal="60" zoomScaleSheetLayoutView="73" workbookViewId="0">
      <selection activeCell="BI12" sqref="BI12"/>
    </sheetView>
  </sheetViews>
  <sheetFormatPr defaultRowHeight="15.75" x14ac:dyDescent="0.25"/>
  <cols>
    <col min="1" max="2" width="9.140625" style="317"/>
    <col min="3" max="4" width="5.28515625" style="317" customWidth="1"/>
    <col min="5" max="5" width="3.85546875" style="317" customWidth="1"/>
    <col min="6" max="6" width="17.7109375" style="317" customWidth="1"/>
    <col min="7" max="7" width="29.85546875" style="318" customWidth="1"/>
    <col min="8" max="8" width="26.7109375" style="317" customWidth="1"/>
    <col min="9" max="9" width="18.7109375" style="317" customWidth="1"/>
    <col min="10" max="10" width="21.42578125" style="317" customWidth="1"/>
    <col min="11" max="11" width="32.140625" style="319" customWidth="1"/>
    <col min="12" max="12" width="23.42578125" style="317" customWidth="1"/>
    <col min="13" max="13" width="14.85546875" style="317" bestFit="1" customWidth="1"/>
    <col min="14" max="14" width="14" style="317" bestFit="1" customWidth="1"/>
    <col min="15" max="15" width="20" style="317" customWidth="1"/>
    <col min="16" max="16" width="30" style="317" customWidth="1"/>
    <col min="17" max="17" width="12.28515625" style="317" customWidth="1"/>
    <col min="18" max="18" width="20.5703125" style="320" customWidth="1"/>
    <col min="19" max="19" width="13.42578125" style="320" customWidth="1"/>
    <col min="20" max="20" width="6" style="320" customWidth="1"/>
    <col min="21" max="21" width="5.5703125" style="320" customWidth="1"/>
    <col min="22" max="23" width="13.7109375" style="320" hidden="1" customWidth="1"/>
    <col min="24" max="24" width="120.140625" style="317" hidden="1" customWidth="1"/>
    <col min="25" max="25" width="112.5703125" style="317" hidden="1" customWidth="1"/>
    <col min="26" max="26" width="73.5703125" style="317" hidden="1" customWidth="1"/>
    <col min="27" max="27" width="60.28515625" style="317" hidden="1" customWidth="1"/>
    <col min="28" max="28" width="9.140625" style="317" hidden="1" customWidth="1"/>
    <col min="29" max="29" width="15.5703125" style="317" hidden="1" customWidth="1"/>
    <col min="30" max="43" width="9.140625" style="317" hidden="1" customWidth="1"/>
    <col min="44" max="44" width="193.5703125" style="317" hidden="1" customWidth="1"/>
    <col min="45" max="55" width="9.140625" style="317" hidden="1" customWidth="1"/>
    <col min="56" max="16384" width="9.140625" style="317"/>
  </cols>
  <sheetData>
    <row r="1" spans="3:25" ht="16.5" thickBot="1" x14ac:dyDescent="0.3">
      <c r="F1" s="354"/>
    </row>
    <row r="2" spans="3:25" x14ac:dyDescent="0.25">
      <c r="C2" s="322"/>
      <c r="D2" s="311"/>
      <c r="E2" s="312"/>
      <c r="F2" s="109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7"/>
      <c r="S2" s="127"/>
      <c r="T2" s="127"/>
      <c r="U2" s="77"/>
    </row>
    <row r="3" spans="3:25" x14ac:dyDescent="0.25">
      <c r="C3" s="322"/>
      <c r="D3" s="9"/>
      <c r="E3" s="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76"/>
      <c r="S3" s="76"/>
      <c r="T3" s="76"/>
      <c r="U3" s="28"/>
    </row>
    <row r="4" spans="3:25" x14ac:dyDescent="0.25">
      <c r="C4" s="322"/>
      <c r="D4" s="9"/>
      <c r="E4" s="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76"/>
      <c r="S4" s="76"/>
      <c r="T4" s="76"/>
      <c r="U4" s="28"/>
    </row>
    <row r="5" spans="3:25" x14ac:dyDescent="0.25">
      <c r="C5" s="322"/>
      <c r="D5" s="9"/>
      <c r="E5" s="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76"/>
      <c r="S5" s="76"/>
      <c r="T5" s="76"/>
      <c r="U5" s="11"/>
    </row>
    <row r="6" spans="3:25" ht="41.25" customHeight="1" x14ac:dyDescent="0.7">
      <c r="C6" s="322"/>
      <c r="D6" s="9"/>
      <c r="E6" s="9"/>
      <c r="F6" s="109"/>
      <c r="G6" s="109"/>
      <c r="H6" s="109"/>
      <c r="I6" s="109"/>
      <c r="J6" s="109"/>
      <c r="K6" s="109"/>
      <c r="L6" s="109"/>
      <c r="M6" s="109"/>
      <c r="N6" s="72"/>
      <c r="O6" s="72"/>
      <c r="P6" s="72"/>
      <c r="Q6" s="72"/>
      <c r="R6" s="76"/>
      <c r="S6" s="72"/>
      <c r="T6" s="72"/>
      <c r="U6" s="65"/>
      <c r="V6" s="342"/>
      <c r="W6" s="342"/>
      <c r="X6" s="342"/>
      <c r="Y6" s="352"/>
    </row>
    <row r="7" spans="3:25" ht="23.25" x14ac:dyDescent="0.25">
      <c r="C7" s="322"/>
      <c r="D7" s="9"/>
      <c r="E7" s="9"/>
      <c r="F7" s="75" t="s">
        <v>1747</v>
      </c>
      <c r="G7" s="525"/>
      <c r="H7" s="526"/>
      <c r="I7" s="128"/>
      <c r="J7" s="129"/>
      <c r="K7" s="129"/>
      <c r="L7" s="109"/>
      <c r="M7" s="109"/>
      <c r="N7" s="72"/>
      <c r="O7" s="72"/>
      <c r="P7" s="72"/>
      <c r="Q7" s="72"/>
      <c r="R7" s="72"/>
      <c r="S7" s="72"/>
      <c r="T7" s="72"/>
      <c r="U7" s="65"/>
      <c r="V7" s="342"/>
      <c r="W7" s="342"/>
    </row>
    <row r="8" spans="3:25" ht="23.25" x14ac:dyDescent="0.35">
      <c r="C8" s="322"/>
      <c r="D8" s="9"/>
      <c r="E8" s="9"/>
      <c r="F8" s="74" t="s">
        <v>0</v>
      </c>
      <c r="G8" s="525"/>
      <c r="H8" s="526"/>
      <c r="I8" s="130"/>
      <c r="J8" s="118"/>
      <c r="K8" s="131"/>
      <c r="L8" s="109"/>
      <c r="M8" s="109"/>
      <c r="N8" s="72"/>
      <c r="O8" s="72"/>
      <c r="P8" s="72"/>
      <c r="Q8" s="72"/>
      <c r="R8" s="72"/>
      <c r="S8" s="72"/>
      <c r="T8" s="72"/>
      <c r="U8" s="65"/>
      <c r="V8" s="342"/>
      <c r="W8" s="342"/>
    </row>
    <row r="9" spans="3:25" ht="23.25" x14ac:dyDescent="0.25">
      <c r="C9" s="322"/>
      <c r="D9" s="9"/>
      <c r="E9" s="9"/>
      <c r="F9" s="75" t="s">
        <v>1</v>
      </c>
      <c r="G9" s="525"/>
      <c r="H9" s="526"/>
      <c r="I9" s="130"/>
      <c r="J9" s="118"/>
      <c r="K9" s="131"/>
      <c r="L9" s="109"/>
      <c r="M9" s="109"/>
      <c r="N9" s="109"/>
      <c r="O9" s="109"/>
      <c r="P9" s="109"/>
      <c r="Q9" s="109"/>
      <c r="R9" s="72"/>
      <c r="S9" s="72"/>
      <c r="T9" s="72"/>
      <c r="U9" s="65"/>
      <c r="V9" s="342"/>
      <c r="W9" s="342"/>
    </row>
    <row r="10" spans="3:25" ht="23.25" x14ac:dyDescent="0.25">
      <c r="C10" s="322"/>
      <c r="D10" s="9"/>
      <c r="E10" s="9"/>
      <c r="F10" s="75" t="s">
        <v>2</v>
      </c>
      <c r="G10" s="525"/>
      <c r="H10" s="526"/>
      <c r="I10" s="130"/>
      <c r="J10" s="118"/>
      <c r="K10" s="118"/>
      <c r="L10" s="109"/>
      <c r="M10" s="109"/>
      <c r="N10" s="109"/>
      <c r="O10" s="109"/>
      <c r="P10" s="109"/>
      <c r="Q10" s="109"/>
      <c r="R10" s="72"/>
      <c r="S10" s="73"/>
      <c r="T10" s="72"/>
      <c r="U10" s="65"/>
      <c r="V10" s="342"/>
      <c r="W10" s="342"/>
      <c r="Y10" s="324"/>
    </row>
    <row r="11" spans="3:25" ht="20.25" customHeight="1" x14ac:dyDescent="0.25">
      <c r="C11" s="322"/>
      <c r="D11" s="9"/>
      <c r="E11" s="9"/>
      <c r="F11" s="519" t="s">
        <v>3</v>
      </c>
      <c r="G11" s="520"/>
      <c r="H11" s="520"/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521"/>
      <c r="T11" s="95"/>
      <c r="U11" s="65"/>
      <c r="V11" s="342"/>
      <c r="W11" s="342"/>
      <c r="Y11" s="324"/>
    </row>
    <row r="12" spans="3:25" ht="24" customHeight="1" x14ac:dyDescent="0.25">
      <c r="C12" s="322"/>
      <c r="D12" s="9"/>
      <c r="E12" s="9"/>
      <c r="F12" s="522"/>
      <c r="G12" s="523"/>
      <c r="H12" s="523"/>
      <c r="I12" s="523"/>
      <c r="J12" s="523"/>
      <c r="K12" s="523"/>
      <c r="L12" s="523"/>
      <c r="M12" s="523"/>
      <c r="N12" s="523"/>
      <c r="O12" s="523"/>
      <c r="P12" s="523"/>
      <c r="Q12" s="523"/>
      <c r="R12" s="523"/>
      <c r="S12" s="524"/>
      <c r="T12" s="95"/>
      <c r="U12" s="60"/>
      <c r="V12" s="353"/>
      <c r="W12" s="353"/>
    </row>
    <row r="13" spans="3:25" ht="65.25" customHeight="1" x14ac:dyDescent="0.25">
      <c r="C13" s="322"/>
      <c r="D13" s="9"/>
      <c r="E13" s="170"/>
      <c r="F13" s="355" t="s">
        <v>4</v>
      </c>
      <c r="G13" s="356">
        <v>45</v>
      </c>
      <c r="H13" s="192"/>
      <c r="I13" s="192"/>
      <c r="J13" s="192"/>
      <c r="K13" s="192"/>
      <c r="L13" s="192"/>
      <c r="M13" s="192"/>
      <c r="N13" s="192"/>
      <c r="O13" s="192"/>
      <c r="P13" s="193"/>
      <c r="Q13" s="194"/>
      <c r="R13" s="195"/>
      <c r="S13" s="196"/>
      <c r="T13" s="96"/>
      <c r="U13" s="60"/>
      <c r="V13" s="353"/>
      <c r="W13" s="353"/>
    </row>
    <row r="14" spans="3:25" ht="30" customHeight="1" x14ac:dyDescent="0.25">
      <c r="C14" s="322"/>
      <c r="D14" s="9"/>
      <c r="E14" s="9"/>
      <c r="F14" s="197"/>
      <c r="G14" s="198"/>
      <c r="H14" s="198"/>
      <c r="I14" s="198"/>
      <c r="J14" s="198"/>
      <c r="K14" s="198"/>
      <c r="L14" s="198"/>
      <c r="M14" s="198"/>
      <c r="N14" s="198"/>
      <c r="O14" s="198"/>
      <c r="P14" s="199"/>
      <c r="Q14" s="200"/>
      <c r="R14" s="201"/>
      <c r="S14" s="202"/>
      <c r="T14" s="96"/>
      <c r="U14" s="60"/>
      <c r="V14" s="353"/>
      <c r="W14" s="353"/>
      <c r="Y14" s="324"/>
    </row>
    <row r="15" spans="3:25" ht="30" customHeight="1" x14ac:dyDescent="0.25">
      <c r="C15" s="322"/>
      <c r="D15" s="9"/>
      <c r="E15" s="170"/>
      <c r="F15" s="132"/>
      <c r="G15" s="133"/>
      <c r="H15" s="133"/>
      <c r="I15" s="133"/>
      <c r="J15" s="133"/>
      <c r="K15" s="133"/>
      <c r="L15" s="133"/>
      <c r="M15" s="133"/>
      <c r="N15" s="133"/>
      <c r="O15" s="133"/>
      <c r="P15" s="134"/>
      <c r="Q15" s="135"/>
      <c r="R15" s="91"/>
      <c r="S15" s="59"/>
      <c r="T15" s="96"/>
      <c r="U15" s="60"/>
      <c r="V15" s="353"/>
      <c r="W15" s="353"/>
      <c r="Y15" s="324"/>
    </row>
    <row r="16" spans="3:25" ht="23.25" customHeight="1" x14ac:dyDescent="0.25">
      <c r="C16" s="322"/>
      <c r="D16" s="9"/>
      <c r="E16" s="170"/>
      <c r="F16" s="136"/>
      <c r="G16" s="137" t="s">
        <v>5</v>
      </c>
      <c r="H16" s="133"/>
      <c r="I16" s="133"/>
      <c r="J16" s="133"/>
      <c r="K16" s="138" t="s">
        <v>6</v>
      </c>
      <c r="L16" s="133"/>
      <c r="M16" s="133"/>
      <c r="N16" s="133"/>
      <c r="O16" s="133"/>
      <c r="P16" s="139" t="s">
        <v>7</v>
      </c>
      <c r="Q16" s="135"/>
      <c r="R16" s="91"/>
      <c r="S16" s="59"/>
      <c r="T16" s="96"/>
      <c r="U16" s="60"/>
      <c r="V16" s="353"/>
      <c r="W16" s="353"/>
      <c r="Y16" s="324"/>
    </row>
    <row r="17" spans="3:21" ht="23.25" customHeight="1" x14ac:dyDescent="0.25">
      <c r="C17" s="322"/>
      <c r="D17" s="9"/>
      <c r="E17" s="170"/>
      <c r="F17" s="136"/>
      <c r="G17" s="133">
        <v>1275</v>
      </c>
      <c r="H17" s="133"/>
      <c r="I17" s="133"/>
      <c r="J17" s="133"/>
      <c r="K17" s="133">
        <v>1150</v>
      </c>
      <c r="L17" s="133"/>
      <c r="M17" s="133"/>
      <c r="N17" s="133"/>
      <c r="O17" s="133"/>
      <c r="P17" s="140">
        <v>1375</v>
      </c>
      <c r="Q17" s="135"/>
      <c r="R17" s="91"/>
      <c r="S17" s="59"/>
      <c r="T17" s="96"/>
      <c r="U17" s="60"/>
    </row>
    <row r="18" spans="3:21" ht="23.25" customHeight="1" x14ac:dyDescent="0.25">
      <c r="C18" s="322"/>
      <c r="D18" s="9"/>
      <c r="E18" s="170"/>
      <c r="F18" s="136"/>
      <c r="G18" s="133"/>
      <c r="H18" s="133"/>
      <c r="I18" s="133"/>
      <c r="J18" s="133"/>
      <c r="K18" s="133"/>
      <c r="L18" s="133"/>
      <c r="M18" s="133"/>
      <c r="N18" s="133"/>
      <c r="O18" s="133"/>
      <c r="P18" s="140"/>
      <c r="Q18" s="135"/>
      <c r="R18" s="91"/>
      <c r="S18" s="59"/>
      <c r="T18" s="96"/>
      <c r="U18" s="60"/>
    </row>
    <row r="19" spans="3:21" ht="23.25" customHeight="1" x14ac:dyDescent="0.25">
      <c r="C19" s="322"/>
      <c r="D19" s="9"/>
      <c r="E19" s="170"/>
      <c r="F19" s="136"/>
      <c r="G19" s="133"/>
      <c r="H19" s="133"/>
      <c r="I19" s="133"/>
      <c r="J19" s="133"/>
      <c r="K19" s="133"/>
      <c r="L19" s="133"/>
      <c r="M19" s="133"/>
      <c r="N19" s="133"/>
      <c r="O19" s="133"/>
      <c r="P19" s="134"/>
      <c r="Q19" s="135"/>
      <c r="R19" s="91"/>
      <c r="S19" s="59"/>
      <c r="T19" s="96"/>
      <c r="U19" s="60"/>
    </row>
    <row r="20" spans="3:21" ht="23.25" customHeight="1" x14ac:dyDescent="0.25">
      <c r="C20" s="322"/>
      <c r="D20" s="9"/>
      <c r="E20" s="170"/>
      <c r="F20" s="136"/>
      <c r="G20" s="133"/>
      <c r="H20" s="133"/>
      <c r="I20" s="133"/>
      <c r="J20" s="133"/>
      <c r="K20" s="133"/>
      <c r="L20" s="133"/>
      <c r="M20" s="133"/>
      <c r="N20" s="133"/>
      <c r="O20" s="133"/>
      <c r="P20" s="134"/>
      <c r="Q20" s="135"/>
      <c r="R20" s="91"/>
      <c r="S20" s="59"/>
      <c r="T20" s="96"/>
      <c r="U20" s="60"/>
    </row>
    <row r="21" spans="3:21" ht="23.25" customHeight="1" x14ac:dyDescent="0.25">
      <c r="C21" s="322"/>
      <c r="D21" s="9"/>
      <c r="E21" s="170"/>
      <c r="F21" s="136"/>
      <c r="G21" s="133"/>
      <c r="H21" s="133"/>
      <c r="I21" s="133"/>
      <c r="J21" s="133"/>
      <c r="K21" s="133"/>
      <c r="L21" s="133"/>
      <c r="M21" s="133"/>
      <c r="N21" s="133"/>
      <c r="O21" s="133"/>
      <c r="P21" s="134"/>
      <c r="Q21" s="135"/>
      <c r="R21" s="91"/>
      <c r="S21" s="59"/>
      <c r="T21" s="96"/>
      <c r="U21" s="60"/>
    </row>
    <row r="22" spans="3:21" ht="23.25" customHeight="1" x14ac:dyDescent="0.25">
      <c r="C22" s="322"/>
      <c r="D22" s="9"/>
      <c r="E22" s="170"/>
      <c r="F22" s="136"/>
      <c r="G22" s="133"/>
      <c r="H22" s="133"/>
      <c r="I22" s="133"/>
      <c r="J22" s="133"/>
      <c r="K22" s="133"/>
      <c r="L22" s="133"/>
      <c r="M22" s="133"/>
      <c r="N22" s="133"/>
      <c r="O22" s="133"/>
      <c r="P22" s="134"/>
      <c r="Q22" s="135"/>
      <c r="R22" s="91"/>
      <c r="S22" s="59"/>
      <c r="T22" s="96"/>
      <c r="U22" s="60"/>
    </row>
    <row r="23" spans="3:21" ht="23.25" customHeight="1" x14ac:dyDescent="0.25">
      <c r="C23" s="322"/>
      <c r="D23" s="9"/>
      <c r="E23" s="170"/>
      <c r="F23" s="136"/>
      <c r="G23" s="133"/>
      <c r="H23" s="133"/>
      <c r="I23" s="133"/>
      <c r="J23" s="133"/>
      <c r="K23" s="133"/>
      <c r="L23" s="133"/>
      <c r="M23" s="133"/>
      <c r="N23" s="133"/>
      <c r="O23" s="133"/>
      <c r="P23" s="134"/>
      <c r="Q23" s="135"/>
      <c r="R23" s="91"/>
      <c r="S23" s="59"/>
      <c r="T23" s="96"/>
      <c r="U23" s="60"/>
    </row>
    <row r="24" spans="3:21" ht="23.25" customHeight="1" x14ac:dyDescent="0.25">
      <c r="C24" s="322"/>
      <c r="D24" s="9"/>
      <c r="E24" s="170"/>
      <c r="F24" s="136"/>
      <c r="G24" s="136"/>
      <c r="H24" s="134"/>
      <c r="I24" s="134"/>
      <c r="J24" s="134"/>
      <c r="K24" s="134"/>
      <c r="L24" s="141"/>
      <c r="M24" s="141"/>
      <c r="N24" s="141"/>
      <c r="O24" s="141"/>
      <c r="P24" s="134"/>
      <c r="Q24" s="135"/>
      <c r="R24" s="91"/>
      <c r="S24" s="59"/>
      <c r="T24" s="96"/>
      <c r="U24" s="60"/>
    </row>
    <row r="25" spans="3:21" ht="23.25" customHeight="1" x14ac:dyDescent="0.25">
      <c r="C25" s="322"/>
      <c r="D25" s="9"/>
      <c r="E25" s="170"/>
      <c r="F25" s="136"/>
      <c r="G25" s="136"/>
      <c r="H25" s="134"/>
      <c r="I25" s="134"/>
      <c r="J25" s="134"/>
      <c r="K25" s="134"/>
      <c r="L25" s="141"/>
      <c r="M25" s="141"/>
      <c r="N25" s="141"/>
      <c r="O25" s="141"/>
      <c r="P25" s="134"/>
      <c r="Q25" s="135"/>
      <c r="R25" s="91"/>
      <c r="S25" s="59"/>
      <c r="T25" s="96"/>
      <c r="U25" s="60"/>
    </row>
    <row r="26" spans="3:21" ht="144" customHeight="1" x14ac:dyDescent="0.35">
      <c r="C26" s="322"/>
      <c r="D26" s="9"/>
      <c r="E26" s="9"/>
      <c r="F26" s="66"/>
      <c r="G26" s="67"/>
      <c r="H26" s="68"/>
      <c r="I26" s="68"/>
      <c r="J26" s="134"/>
      <c r="K26" s="69"/>
      <c r="L26" s="69"/>
      <c r="M26" s="69"/>
      <c r="N26" s="69"/>
      <c r="O26" s="69"/>
      <c r="P26" s="68"/>
      <c r="Q26" s="68"/>
      <c r="R26" s="70"/>
      <c r="S26" s="71"/>
      <c r="T26" s="96"/>
      <c r="U26" s="60"/>
    </row>
    <row r="27" spans="3:21" ht="31.5" customHeight="1" x14ac:dyDescent="0.25">
      <c r="C27" s="322"/>
      <c r="D27" s="9"/>
      <c r="E27" s="9"/>
      <c r="F27" s="55"/>
      <c r="G27" s="56"/>
      <c r="H27" s="492" t="s">
        <v>8</v>
      </c>
      <c r="I27" s="435">
        <v>0</v>
      </c>
      <c r="J27" s="63"/>
      <c r="K27" s="63"/>
      <c r="L27" s="485" t="s">
        <v>8</v>
      </c>
      <c r="M27" s="490">
        <v>0</v>
      </c>
      <c r="N27" s="63"/>
      <c r="O27" s="63"/>
      <c r="P27" s="63"/>
      <c r="Q27" s="485" t="s">
        <v>8</v>
      </c>
      <c r="R27" s="490">
        <v>0</v>
      </c>
      <c r="S27" s="53"/>
      <c r="T27" s="97"/>
      <c r="U27" s="52"/>
    </row>
    <row r="28" spans="3:21" ht="25.5" customHeight="1" x14ac:dyDescent="0.25">
      <c r="C28" s="322"/>
      <c r="D28" s="9"/>
      <c r="E28" s="9"/>
      <c r="F28" s="57"/>
      <c r="G28" s="58"/>
      <c r="H28" s="493"/>
      <c r="I28" s="436"/>
      <c r="J28" s="64"/>
      <c r="K28" s="64"/>
      <c r="L28" s="486"/>
      <c r="M28" s="491"/>
      <c r="N28" s="64"/>
      <c r="O28" s="64"/>
      <c r="P28" s="64"/>
      <c r="Q28" s="486"/>
      <c r="R28" s="491"/>
      <c r="S28" s="54"/>
      <c r="T28" s="97"/>
      <c r="U28" s="52"/>
    </row>
    <row r="29" spans="3:21" ht="23.25" customHeight="1" x14ac:dyDescent="0.25">
      <c r="C29" s="322"/>
      <c r="D29" s="9"/>
      <c r="E29" s="170"/>
      <c r="F29" s="136"/>
      <c r="G29" s="136"/>
      <c r="H29" s="134"/>
      <c r="I29" s="134"/>
      <c r="J29" s="134"/>
      <c r="K29" s="134"/>
      <c r="L29" s="141"/>
      <c r="M29" s="141"/>
      <c r="N29" s="141"/>
      <c r="O29" s="141"/>
      <c r="P29" s="134"/>
      <c r="Q29" s="135"/>
      <c r="R29" s="91"/>
      <c r="S29" s="59"/>
      <c r="T29" s="96"/>
      <c r="U29" s="60"/>
    </row>
    <row r="30" spans="3:21" ht="23.25" customHeight="1" x14ac:dyDescent="0.25">
      <c r="C30" s="322"/>
      <c r="D30" s="9"/>
      <c r="E30" s="170"/>
      <c r="F30" s="136"/>
      <c r="G30" s="136"/>
      <c r="H30" s="134"/>
      <c r="I30" s="134"/>
      <c r="J30" s="134"/>
      <c r="K30" s="134"/>
      <c r="L30" s="141"/>
      <c r="M30" s="141"/>
      <c r="N30" s="142"/>
      <c r="O30" s="142"/>
      <c r="P30" s="142"/>
      <c r="Q30" s="142"/>
      <c r="R30" s="91"/>
      <c r="S30" s="59"/>
      <c r="T30" s="96"/>
      <c r="U30" s="60"/>
    </row>
    <row r="31" spans="3:21" ht="23.25" customHeight="1" x14ac:dyDescent="0.25">
      <c r="C31" s="322"/>
      <c r="D31" s="9"/>
      <c r="E31" s="170"/>
      <c r="F31" s="136"/>
      <c r="G31" s="143" t="s">
        <v>9</v>
      </c>
      <c r="H31" s="134"/>
      <c r="I31" s="134"/>
      <c r="J31" s="134"/>
      <c r="K31" s="134"/>
      <c r="L31" s="134"/>
      <c r="M31" s="134"/>
      <c r="N31" s="142"/>
      <c r="O31" s="142"/>
      <c r="P31" s="142"/>
      <c r="Q31" s="142"/>
      <c r="R31" s="91"/>
      <c r="S31" s="59"/>
      <c r="T31" s="96"/>
      <c r="U31" s="60"/>
    </row>
    <row r="32" spans="3:21" ht="30.75" customHeight="1" x14ac:dyDescent="0.25">
      <c r="C32" s="322"/>
      <c r="D32" s="9"/>
      <c r="E32" s="170"/>
      <c r="F32" s="136"/>
      <c r="G32" s="134">
        <v>1650</v>
      </c>
      <c r="H32" s="134"/>
      <c r="I32" s="134"/>
      <c r="J32" s="134"/>
      <c r="K32" s="134"/>
      <c r="L32" s="134"/>
      <c r="M32" s="134"/>
      <c r="N32" s="142"/>
      <c r="O32" s="142"/>
      <c r="P32" s="142"/>
      <c r="Q32" s="142"/>
      <c r="R32" s="91"/>
      <c r="S32" s="59"/>
      <c r="T32" s="96"/>
      <c r="U32" s="60"/>
    </row>
    <row r="33" spans="3:21" ht="117" customHeight="1" x14ac:dyDescent="0.25">
      <c r="C33" s="322"/>
      <c r="D33" s="9"/>
      <c r="E33" s="170"/>
      <c r="F33" s="136"/>
      <c r="G33" s="136"/>
      <c r="H33" s="134"/>
      <c r="I33" s="134"/>
      <c r="J33" s="134"/>
      <c r="K33" s="134"/>
      <c r="L33" s="134"/>
      <c r="M33" s="134"/>
      <c r="N33" s="142"/>
      <c r="O33" s="142"/>
      <c r="P33" s="142"/>
      <c r="Q33" s="142"/>
      <c r="R33" s="91"/>
      <c r="S33" s="59"/>
      <c r="T33" s="96"/>
      <c r="U33" s="61"/>
    </row>
    <row r="34" spans="3:21" ht="48.75" customHeight="1" x14ac:dyDescent="0.25">
      <c r="C34" s="322"/>
      <c r="D34" s="9"/>
      <c r="E34" s="170"/>
      <c r="F34" s="136"/>
      <c r="G34" s="136"/>
      <c r="H34" s="134"/>
      <c r="I34" s="134"/>
      <c r="J34" s="134"/>
      <c r="K34" s="144"/>
      <c r="L34" s="145">
        <v>1800</v>
      </c>
      <c r="M34" s="141"/>
      <c r="N34" s="142"/>
      <c r="O34" s="142"/>
      <c r="P34" s="142"/>
      <c r="Q34" s="142">
        <v>1450</v>
      </c>
      <c r="R34" s="91"/>
      <c r="S34" s="59"/>
      <c r="T34" s="96"/>
      <c r="U34" s="62"/>
    </row>
    <row r="35" spans="3:21" ht="33" customHeight="1" x14ac:dyDescent="0.25">
      <c r="C35" s="322"/>
      <c r="D35" s="9"/>
      <c r="E35" s="170"/>
      <c r="F35" s="136"/>
      <c r="G35" s="136"/>
      <c r="H35" s="134"/>
      <c r="I35" s="134"/>
      <c r="J35" s="134"/>
      <c r="K35" s="134"/>
      <c r="L35" s="141"/>
      <c r="M35" s="141"/>
      <c r="N35" s="142"/>
      <c r="O35" s="142"/>
      <c r="P35" s="142"/>
      <c r="Q35" s="142"/>
      <c r="R35" s="91"/>
      <c r="S35" s="59"/>
      <c r="T35" s="96"/>
      <c r="U35" s="51"/>
    </row>
    <row r="36" spans="3:21" ht="33" customHeight="1" x14ac:dyDescent="0.25">
      <c r="C36" s="322"/>
      <c r="D36" s="9"/>
      <c r="E36" s="170"/>
      <c r="F36" s="136"/>
      <c r="G36" s="136"/>
      <c r="H36" s="134"/>
      <c r="I36" s="134"/>
      <c r="J36" s="134"/>
      <c r="K36" s="134"/>
      <c r="L36" s="141"/>
      <c r="M36" s="141"/>
      <c r="N36" s="141"/>
      <c r="O36" s="142"/>
      <c r="P36" s="142"/>
      <c r="Q36" s="142"/>
      <c r="R36" s="91"/>
      <c r="S36" s="59"/>
      <c r="T36" s="96"/>
      <c r="U36" s="51"/>
    </row>
    <row r="37" spans="3:21" ht="33" customHeight="1" x14ac:dyDescent="0.25">
      <c r="C37" s="322"/>
      <c r="D37" s="9"/>
      <c r="E37" s="170"/>
      <c r="F37" s="136"/>
      <c r="G37" s="136"/>
      <c r="H37" s="134"/>
      <c r="I37" s="134"/>
      <c r="J37" s="134"/>
      <c r="K37" s="134"/>
      <c r="L37" s="141"/>
      <c r="M37" s="141"/>
      <c r="N37" s="141"/>
      <c r="O37" s="142"/>
      <c r="P37" s="142"/>
      <c r="Q37" s="142"/>
      <c r="R37" s="91"/>
      <c r="S37" s="59"/>
      <c r="T37" s="96"/>
      <c r="U37" s="51"/>
    </row>
    <row r="38" spans="3:21" ht="33" customHeight="1" x14ac:dyDescent="0.25">
      <c r="C38" s="322"/>
      <c r="D38" s="9"/>
      <c r="E38" s="170"/>
      <c r="F38" s="136"/>
      <c r="G38" s="136"/>
      <c r="H38" s="134"/>
      <c r="I38" s="134"/>
      <c r="J38" s="134"/>
      <c r="K38" s="134"/>
      <c r="L38" s="141"/>
      <c r="M38" s="141"/>
      <c r="N38" s="141"/>
      <c r="O38" s="142"/>
      <c r="P38" s="142"/>
      <c r="Q38" s="142"/>
      <c r="R38" s="91"/>
      <c r="S38" s="59"/>
      <c r="T38" s="96"/>
      <c r="U38" s="51"/>
    </row>
    <row r="39" spans="3:21" ht="48" customHeight="1" x14ac:dyDescent="0.25">
      <c r="C39" s="322"/>
      <c r="D39" s="9"/>
      <c r="E39" s="170"/>
      <c r="F39" s="136"/>
      <c r="G39" s="136"/>
      <c r="H39" s="134"/>
      <c r="I39" s="134"/>
      <c r="J39" s="134"/>
      <c r="K39" s="134"/>
      <c r="L39" s="141"/>
      <c r="M39" s="141"/>
      <c r="N39" s="141"/>
      <c r="O39" s="146"/>
      <c r="P39" s="146"/>
      <c r="Q39" s="146"/>
      <c r="R39" s="146"/>
      <c r="S39" s="59"/>
      <c r="T39" s="96"/>
      <c r="U39" s="51"/>
    </row>
    <row r="40" spans="3:21" ht="38.25" customHeight="1" x14ac:dyDescent="0.25">
      <c r="C40" s="322"/>
      <c r="D40" s="9"/>
      <c r="E40" s="170"/>
      <c r="F40" s="136"/>
      <c r="G40" s="136"/>
      <c r="H40" s="134"/>
      <c r="I40" s="134"/>
      <c r="J40" s="134"/>
      <c r="K40" s="134"/>
      <c r="L40" s="146"/>
      <c r="M40" s="146"/>
      <c r="N40" s="146"/>
      <c r="O40" s="146"/>
      <c r="P40" s="146"/>
      <c r="Q40"/>
      <c r="R40"/>
      <c r="S40" s="59"/>
      <c r="T40" s="96"/>
      <c r="U40" s="51"/>
    </row>
    <row r="41" spans="3:21" ht="32.25" customHeight="1" x14ac:dyDescent="0.25">
      <c r="C41" s="322"/>
      <c r="D41" s="9"/>
      <c r="E41" s="170"/>
      <c r="F41" s="136"/>
      <c r="G41" s="136"/>
      <c r="H41" s="134"/>
      <c r="I41" s="134"/>
      <c r="J41" s="134"/>
      <c r="K41" s="134"/>
      <c r="L41" s="146"/>
      <c r="M41" s="146"/>
      <c r="N41" s="146"/>
      <c r="O41" s="146"/>
      <c r="P41" s="146"/>
      <c r="Q41" s="146"/>
      <c r="R41" s="146"/>
      <c r="S41" s="59"/>
      <c r="T41" s="96"/>
      <c r="U41" s="51"/>
    </row>
    <row r="42" spans="3:21" ht="31.5" customHeight="1" x14ac:dyDescent="0.25">
      <c r="C42" s="322"/>
      <c r="D42" s="9"/>
      <c r="E42" s="170"/>
      <c r="F42" s="136"/>
      <c r="G42" s="136"/>
      <c r="H42" s="134"/>
      <c r="I42" s="134"/>
      <c r="J42" s="134"/>
      <c r="K42" s="134"/>
      <c r="L42" s="146"/>
      <c r="M42" s="146"/>
      <c r="N42" s="146"/>
      <c r="O42" s="146"/>
      <c r="P42" s="146"/>
      <c r="Q42" s="146"/>
      <c r="R42" s="146"/>
      <c r="S42" s="59"/>
      <c r="T42" s="96"/>
      <c r="U42" s="51"/>
    </row>
    <row r="43" spans="3:21" ht="45" customHeight="1" x14ac:dyDescent="0.25">
      <c r="C43" s="322"/>
      <c r="D43" s="9"/>
      <c r="E43" s="170"/>
      <c r="F43" s="56"/>
      <c r="G43" s="56"/>
      <c r="H43" s="437" t="s">
        <v>8</v>
      </c>
      <c r="I43" s="435">
        <v>0</v>
      </c>
      <c r="J43" s="63"/>
      <c r="K43" s="56"/>
      <c r="L43" s="437" t="s">
        <v>8</v>
      </c>
      <c r="M43" s="423">
        <v>0</v>
      </c>
      <c r="N43" s="79"/>
      <c r="O43" s="63"/>
      <c r="P43" s="56"/>
      <c r="Q43" s="437" t="s">
        <v>8</v>
      </c>
      <c r="R43" s="435">
        <v>0</v>
      </c>
      <c r="S43" s="83"/>
      <c r="T43" s="98"/>
      <c r="U43" s="52"/>
    </row>
    <row r="44" spans="3:21" ht="26.25" customHeight="1" x14ac:dyDescent="0.25">
      <c r="C44" s="322"/>
      <c r="D44" s="9"/>
      <c r="E44" s="170"/>
      <c r="F44" s="58"/>
      <c r="G44" s="58"/>
      <c r="H44" s="438"/>
      <c r="I44" s="436"/>
      <c r="J44" s="64"/>
      <c r="K44" s="58"/>
      <c r="L44" s="438"/>
      <c r="M44" s="424"/>
      <c r="N44" s="80"/>
      <c r="O44" s="64"/>
      <c r="P44" s="58"/>
      <c r="Q44" s="438"/>
      <c r="R44" s="436"/>
      <c r="S44" s="84"/>
      <c r="T44" s="98"/>
      <c r="U44" s="52"/>
    </row>
    <row r="45" spans="3:21" ht="26.25" customHeight="1" x14ac:dyDescent="0.25">
      <c r="C45" s="322"/>
      <c r="D45" s="9"/>
      <c r="E45" s="170"/>
      <c r="F45" s="136"/>
      <c r="G45" s="136"/>
      <c r="H45" s="147"/>
      <c r="I45" s="148"/>
      <c r="J45" s="134"/>
      <c r="K45" s="136"/>
      <c r="L45" s="147"/>
      <c r="M45" s="148"/>
      <c r="N45" s="134"/>
      <c r="O45" s="134"/>
      <c r="P45" s="142"/>
      <c r="Q45" s="149"/>
      <c r="R45" s="150"/>
      <c r="S45" s="150"/>
      <c r="T45" s="76"/>
      <c r="U45" s="52"/>
    </row>
    <row r="46" spans="3:21" ht="26.25" customHeight="1" x14ac:dyDescent="0.25">
      <c r="C46" s="322"/>
      <c r="D46" s="9"/>
      <c r="E46" s="170"/>
      <c r="F46" s="136"/>
      <c r="G46" s="136"/>
      <c r="H46" s="147"/>
      <c r="I46" s="148"/>
      <c r="J46" s="134"/>
      <c r="K46" s="136"/>
      <c r="L46" s="147"/>
      <c r="M46" s="148"/>
      <c r="N46" s="134"/>
      <c r="O46" s="134"/>
      <c r="P46" s="541" t="s">
        <v>2750</v>
      </c>
      <c r="Q46" s="542"/>
      <c r="R46" s="543">
        <f>R43+M43+I43+I27+M27+R27</f>
        <v>0</v>
      </c>
      <c r="S46" s="544"/>
      <c r="T46" s="151"/>
      <c r="U46" s="52"/>
    </row>
    <row r="47" spans="3:21" ht="37.5" customHeight="1" x14ac:dyDescent="0.25">
      <c r="C47" s="322"/>
      <c r="D47" s="9"/>
      <c r="E47" s="170"/>
      <c r="F47" s="136"/>
      <c r="G47" s="136"/>
      <c r="H47" s="147"/>
      <c r="I47" s="148"/>
      <c r="J47" s="134"/>
      <c r="K47" s="136"/>
      <c r="L47" s="147"/>
      <c r="M47" s="148"/>
      <c r="N47" s="134"/>
      <c r="O47" s="134"/>
      <c r="P47" s="445" t="s">
        <v>2747</v>
      </c>
      <c r="Q47" s="446"/>
      <c r="R47" s="433">
        <f>J50*I50+J51*I51+J52*I52+J54*I54+J53*I53</f>
        <v>0</v>
      </c>
      <c r="S47" s="434"/>
      <c r="T47" s="152"/>
      <c r="U47" s="52"/>
    </row>
    <row r="48" spans="3:21" ht="35.25" customHeight="1" x14ac:dyDescent="0.25">
      <c r="C48" s="322"/>
      <c r="D48" s="9"/>
      <c r="E48" s="170"/>
      <c r="F48" s="136"/>
      <c r="G48" s="136"/>
      <c r="H48" s="134"/>
      <c r="I48" s="134"/>
      <c r="J48" s="134"/>
      <c r="K48" s="134"/>
      <c r="L48" s="141"/>
      <c r="M48" s="141"/>
      <c r="N48" s="141"/>
      <c r="O48" s="141"/>
      <c r="P48" s="447"/>
      <c r="Q48" s="448"/>
      <c r="R48" s="551">
        <f>(I27*G17)+(M27*K17)+(R27*P17)+(I43*G32)+(M43*L34)+R43*Q34+R47</f>
        <v>0</v>
      </c>
      <c r="S48" s="552"/>
      <c r="T48" s="99"/>
      <c r="U48" s="51"/>
    </row>
    <row r="49" spans="3:21" ht="30.75" customHeight="1" x14ac:dyDescent="0.25">
      <c r="C49" s="322"/>
      <c r="D49" s="9"/>
      <c r="E49" s="170"/>
      <c r="F49" s="380" t="s">
        <v>20</v>
      </c>
      <c r="G49" s="381"/>
      <c r="H49" s="87" t="s">
        <v>21</v>
      </c>
      <c r="I49" s="87" t="s">
        <v>22</v>
      </c>
      <c r="J49" s="87" t="s">
        <v>23</v>
      </c>
      <c r="K49" s="142"/>
      <c r="L49" s="142"/>
      <c r="M49" s="142"/>
      <c r="N49" s="142"/>
      <c r="O49" s="142"/>
      <c r="P49" s="430" t="s">
        <v>1698</v>
      </c>
      <c r="Q49" s="431"/>
      <c r="R49" s="431"/>
      <c r="S49" s="432"/>
      <c r="T49" s="153"/>
      <c r="U49" s="50"/>
    </row>
    <row r="50" spans="3:21" ht="38.25" customHeight="1" x14ac:dyDescent="0.25">
      <c r="C50" s="322"/>
      <c r="D50" s="9"/>
      <c r="E50" s="9"/>
      <c r="F50" s="412" t="s">
        <v>2251</v>
      </c>
      <c r="G50" s="413"/>
      <c r="H50" s="154">
        <v>16</v>
      </c>
      <c r="I50" s="88">
        <v>76</v>
      </c>
      <c r="J50" s="358">
        <v>0</v>
      </c>
      <c r="K50" s="142"/>
      <c r="L50" s="142"/>
      <c r="M50" s="142"/>
      <c r="N50" s="142"/>
      <c r="O50" s="142"/>
      <c r="P50" s="545" t="s">
        <v>10</v>
      </c>
      <c r="Q50" s="546"/>
      <c r="R50" s="186" t="s">
        <v>11</v>
      </c>
      <c r="S50" s="187" t="s">
        <v>12</v>
      </c>
      <c r="T50" s="155"/>
      <c r="U50" s="34"/>
    </row>
    <row r="51" spans="3:21" ht="48.75" customHeight="1" x14ac:dyDescent="0.25">
      <c r="C51" s="322"/>
      <c r="D51" s="9"/>
      <c r="E51" s="9"/>
      <c r="F51" s="410" t="s">
        <v>1890</v>
      </c>
      <c r="G51" s="411"/>
      <c r="H51" s="154">
        <v>6</v>
      </c>
      <c r="I51" s="88">
        <v>102</v>
      </c>
      <c r="J51" s="358">
        <v>0</v>
      </c>
      <c r="K51" s="142"/>
      <c r="L51" s="142"/>
      <c r="M51" s="142"/>
      <c r="N51" s="142"/>
      <c r="O51" s="142"/>
      <c r="P51" s="547" t="s">
        <v>13</v>
      </c>
      <c r="Q51" s="548"/>
      <c r="R51" s="184">
        <v>400</v>
      </c>
      <c r="S51" s="357" t="b">
        <v>0</v>
      </c>
      <c r="T51" s="156"/>
      <c r="U51" s="34"/>
    </row>
    <row r="52" spans="3:21" ht="43.5" customHeight="1" x14ac:dyDescent="0.25">
      <c r="C52" s="322"/>
      <c r="D52" s="9"/>
      <c r="E52" s="9"/>
      <c r="F52" s="410" t="s">
        <v>1727</v>
      </c>
      <c r="G52" s="411"/>
      <c r="H52" s="154">
        <v>12</v>
      </c>
      <c r="I52" s="88">
        <v>138</v>
      </c>
      <c r="J52" s="358">
        <v>0</v>
      </c>
      <c r="K52" s="142"/>
      <c r="L52" s="142"/>
      <c r="M52" s="142"/>
      <c r="N52" s="142"/>
      <c r="O52" s="142"/>
      <c r="P52" s="547" t="s">
        <v>14</v>
      </c>
      <c r="Q52" s="548"/>
      <c r="R52" s="184">
        <v>485</v>
      </c>
      <c r="S52" s="357" t="b">
        <v>0</v>
      </c>
      <c r="T52" s="156"/>
      <c r="U52" s="34"/>
    </row>
    <row r="53" spans="3:21" ht="44.25" customHeight="1" x14ac:dyDescent="0.25">
      <c r="C53" s="322"/>
      <c r="D53" s="9"/>
      <c r="E53" s="9"/>
      <c r="F53" s="410" t="s">
        <v>1892</v>
      </c>
      <c r="G53" s="411"/>
      <c r="H53" s="154">
        <v>12</v>
      </c>
      <c r="I53" s="88">
        <v>195</v>
      </c>
      <c r="J53" s="358">
        <v>0</v>
      </c>
      <c r="K53" s="142"/>
      <c r="L53" s="142"/>
      <c r="M53" s="142"/>
      <c r="N53" s="142"/>
      <c r="O53" s="142"/>
      <c r="P53" s="547" t="s">
        <v>15</v>
      </c>
      <c r="Q53" s="548"/>
      <c r="R53" s="184">
        <v>520</v>
      </c>
      <c r="S53" s="357" t="b">
        <v>0</v>
      </c>
      <c r="T53" s="156"/>
      <c r="U53" s="34"/>
    </row>
    <row r="54" spans="3:21" ht="44.25" customHeight="1" x14ac:dyDescent="0.25">
      <c r="C54" s="322"/>
      <c r="D54" s="9"/>
      <c r="E54" s="9"/>
      <c r="F54" s="410" t="s">
        <v>1891</v>
      </c>
      <c r="G54" s="411"/>
      <c r="H54" s="154">
        <v>16</v>
      </c>
      <c r="I54" s="88">
        <v>160</v>
      </c>
      <c r="J54" s="358">
        <v>0</v>
      </c>
      <c r="K54" s="142"/>
      <c r="L54" s="142"/>
      <c r="M54" s="142"/>
      <c r="N54" s="142"/>
      <c r="O54" s="142"/>
      <c r="P54" s="547" t="s">
        <v>16</v>
      </c>
      <c r="Q54" s="548"/>
      <c r="R54" s="184">
        <v>800</v>
      </c>
      <c r="S54" s="357" t="b">
        <v>0</v>
      </c>
      <c r="T54" s="156"/>
      <c r="U54" s="34"/>
    </row>
    <row r="55" spans="3:21" ht="40.5" customHeight="1" x14ac:dyDescent="0.25">
      <c r="C55" s="322"/>
      <c r="D55" s="9"/>
      <c r="E55" s="9"/>
      <c r="F55" s="89"/>
      <c r="G55" s="90"/>
      <c r="H55" s="90" t="s">
        <v>24</v>
      </c>
      <c r="I55" s="90"/>
      <c r="J55" s="359">
        <f>SUBTOTAL(9,J50:J54)</f>
        <v>0</v>
      </c>
      <c r="K55" s="142"/>
      <c r="L55" s="142"/>
      <c r="M55" s="142"/>
      <c r="N55" s="142"/>
      <c r="O55" s="142"/>
      <c r="P55" s="547" t="s">
        <v>17</v>
      </c>
      <c r="Q55" s="548"/>
      <c r="R55" s="184">
        <v>900</v>
      </c>
      <c r="S55" s="357" t="b">
        <v>0</v>
      </c>
      <c r="T55" s="156"/>
      <c r="U55" s="34"/>
    </row>
    <row r="56" spans="3:21" ht="32.25" customHeight="1" x14ac:dyDescent="0.25">
      <c r="C56" s="322"/>
      <c r="D56" s="9"/>
      <c r="E56" s="170"/>
      <c r="F56" s="149"/>
      <c r="G56" s="136"/>
      <c r="H56" s="149"/>
      <c r="I56" s="149"/>
      <c r="J56" s="149"/>
      <c r="K56" s="142"/>
      <c r="L56" s="142"/>
      <c r="M56" s="142"/>
      <c r="N56" s="142"/>
      <c r="O56" s="142"/>
      <c r="P56" s="547" t="s">
        <v>18</v>
      </c>
      <c r="Q56" s="548"/>
      <c r="R56" s="184">
        <v>1100</v>
      </c>
      <c r="S56" s="357" t="b">
        <v>0</v>
      </c>
      <c r="T56" s="156"/>
      <c r="U56" s="34"/>
    </row>
    <row r="57" spans="3:21" ht="45.75" customHeight="1" x14ac:dyDescent="0.25">
      <c r="C57" s="322"/>
      <c r="D57" s="9"/>
      <c r="E57" s="170"/>
      <c r="F57" s="149"/>
      <c r="G57" s="136"/>
      <c r="H57" s="149"/>
      <c r="I57" s="149"/>
      <c r="J57" s="149"/>
      <c r="K57" s="142"/>
      <c r="L57" s="142"/>
      <c r="M57" s="142"/>
      <c r="N57" s="142"/>
      <c r="O57" s="142"/>
      <c r="P57" s="549" t="s">
        <v>19</v>
      </c>
      <c r="Q57" s="550"/>
      <c r="R57" s="313">
        <v>195</v>
      </c>
      <c r="S57" s="357" t="b">
        <v>0</v>
      </c>
      <c r="T57" s="156"/>
      <c r="U57" s="34"/>
    </row>
    <row r="58" spans="3:21" ht="50.25" customHeight="1" x14ac:dyDescent="0.25">
      <c r="C58" s="322"/>
      <c r="D58" s="9"/>
      <c r="E58" s="170"/>
      <c r="F58" s="149"/>
      <c r="G58" s="136"/>
      <c r="H58" s="149"/>
      <c r="I58" s="149"/>
      <c r="J58" s="149"/>
      <c r="K58" s="142"/>
      <c r="L58" s="142"/>
      <c r="M58" s="142"/>
      <c r="N58" s="142"/>
      <c r="O58" s="142"/>
      <c r="P58" s="549" t="s">
        <v>1736</v>
      </c>
      <c r="Q58" s="550"/>
      <c r="R58" s="313">
        <v>229</v>
      </c>
      <c r="S58" s="357" t="b">
        <v>0</v>
      </c>
      <c r="T58" s="156"/>
      <c r="U58" s="34"/>
    </row>
    <row r="59" spans="3:21" ht="32.25" customHeight="1" x14ac:dyDescent="0.25">
      <c r="C59" s="322"/>
      <c r="D59" s="9"/>
      <c r="E59" s="170"/>
      <c r="F59" s="149"/>
      <c r="G59" s="136"/>
      <c r="H59" s="149"/>
      <c r="I59" s="149"/>
      <c r="J59" s="149"/>
      <c r="K59" s="157"/>
      <c r="L59" s="157"/>
      <c r="M59" s="157"/>
      <c r="N59" s="157"/>
      <c r="O59" s="157"/>
      <c r="P59" s="425" t="s">
        <v>1748</v>
      </c>
      <c r="Q59" s="426"/>
      <c r="R59" s="426"/>
      <c r="S59" s="427"/>
      <c r="T59" s="158"/>
      <c r="U59" s="34"/>
    </row>
    <row r="60" spans="3:21" ht="49.5" customHeight="1" x14ac:dyDescent="0.25">
      <c r="C60" s="322"/>
      <c r="D60" s="9"/>
      <c r="E60" s="170"/>
      <c r="F60" s="149"/>
      <c r="G60" s="136"/>
      <c r="H60" s="149"/>
      <c r="I60" s="149"/>
      <c r="J60" s="149"/>
      <c r="K60" s="157"/>
      <c r="L60" s="157"/>
      <c r="M60" s="157"/>
      <c r="N60" s="157"/>
      <c r="O60" s="157"/>
      <c r="P60" s="425"/>
      <c r="Q60" s="426"/>
      <c r="R60" s="426"/>
      <c r="S60" s="427"/>
      <c r="T60" s="158"/>
      <c r="U60" s="34"/>
    </row>
    <row r="61" spans="3:21" ht="32.25" customHeight="1" x14ac:dyDescent="0.25">
      <c r="C61" s="322"/>
      <c r="D61" s="9"/>
      <c r="E61" s="170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425"/>
      <c r="Q61" s="426"/>
      <c r="R61" s="426"/>
      <c r="S61" s="427"/>
      <c r="T61" s="158"/>
      <c r="U61" s="34"/>
    </row>
    <row r="62" spans="3:21" ht="47.25" customHeight="1" x14ac:dyDescent="0.25">
      <c r="C62" s="322"/>
      <c r="D62" s="9"/>
      <c r="E62" s="170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85"/>
      <c r="Q62" s="428">
        <f>IF(S51,400,0)*R46 + IF(S52,485,0)*R46 + IF(S53,520,0)*R46  + IF(S54,800,0)*R46  + IF(S55,900,0)*R46  + IF(S56,1100,0)*R46 + IF(S57,195,0)+IF(S58,229,0)+R48</f>
        <v>0</v>
      </c>
      <c r="R62" s="428"/>
      <c r="S62" s="429"/>
      <c r="T62" s="159"/>
      <c r="U62" s="34"/>
    </row>
    <row r="63" spans="3:21" ht="32.25" customHeight="1" x14ac:dyDescent="0.25">
      <c r="C63" s="322"/>
      <c r="D63" s="9"/>
      <c r="E63" s="9"/>
      <c r="F63" s="496" t="s">
        <v>25</v>
      </c>
      <c r="G63" s="497"/>
      <c r="H63" s="497"/>
      <c r="I63" s="497"/>
      <c r="J63" s="497"/>
      <c r="K63" s="497"/>
      <c r="L63" s="497"/>
      <c r="M63" s="497"/>
      <c r="N63" s="497"/>
      <c r="O63" s="497"/>
      <c r="P63" s="497"/>
      <c r="Q63" s="497"/>
      <c r="R63" s="497"/>
      <c r="S63" s="498"/>
      <c r="T63" s="100"/>
      <c r="U63" s="34"/>
    </row>
    <row r="64" spans="3:21" ht="42" customHeight="1" x14ac:dyDescent="0.25">
      <c r="C64" s="322"/>
      <c r="D64" s="9"/>
      <c r="E64" s="9"/>
      <c r="F64" s="496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8"/>
      <c r="T64" s="100"/>
      <c r="U64" s="34"/>
    </row>
    <row r="65" spans="3:25" ht="38.25" customHeight="1" x14ac:dyDescent="0.25">
      <c r="C65" s="322"/>
      <c r="D65" s="9"/>
      <c r="E65" s="9"/>
      <c r="F65" s="527" t="s">
        <v>2281</v>
      </c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9"/>
      <c r="T65" s="101"/>
      <c r="U65" s="34"/>
      <c r="V65" s="324"/>
      <c r="W65" s="324"/>
    </row>
    <row r="66" spans="3:25" ht="30.75" customHeight="1" x14ac:dyDescent="0.25">
      <c r="C66" s="322"/>
      <c r="D66" s="9"/>
      <c r="E66" s="9"/>
      <c r="F66" s="532" t="s">
        <v>2282</v>
      </c>
      <c r="G66" s="533"/>
      <c r="H66" s="533"/>
      <c r="I66" s="533"/>
      <c r="J66" s="533" t="s">
        <v>1749</v>
      </c>
      <c r="K66" s="533"/>
      <c r="L66" s="533"/>
      <c r="M66" s="533"/>
      <c r="N66" s="533"/>
      <c r="O66" s="533"/>
      <c r="P66" s="533"/>
      <c r="Q66" s="533"/>
      <c r="R66" s="533"/>
      <c r="S66" s="534"/>
      <c r="T66" s="102"/>
      <c r="U66" s="48"/>
      <c r="V66" s="325"/>
      <c r="W66" s="325"/>
    </row>
    <row r="67" spans="3:25" ht="30.75" customHeight="1" x14ac:dyDescent="0.25">
      <c r="C67" s="322"/>
      <c r="D67" s="9"/>
      <c r="E67" s="171"/>
      <c r="F67" s="203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1"/>
      <c r="T67" s="102"/>
      <c r="U67" s="48"/>
      <c r="V67" s="325"/>
      <c r="W67" s="325"/>
    </row>
    <row r="68" spans="3:25" s="327" customFormat="1" ht="39" customHeight="1" x14ac:dyDescent="0.55000000000000004">
      <c r="C68" s="348"/>
      <c r="D68" s="26"/>
      <c r="E68" s="171"/>
      <c r="F68" s="203" t="s">
        <v>26</v>
      </c>
      <c r="G68" s="203" t="s">
        <v>27</v>
      </c>
      <c r="H68" s="499" t="s">
        <v>2749</v>
      </c>
      <c r="I68" s="499"/>
      <c r="J68" s="499"/>
      <c r="K68" s="500"/>
      <c r="L68" s="191" t="s">
        <v>28</v>
      </c>
      <c r="M68" s="362" t="s">
        <v>29</v>
      </c>
      <c r="N68" s="204" t="s">
        <v>30</v>
      </c>
      <c r="O68" s="205" t="s">
        <v>31</v>
      </c>
      <c r="P68" s="206" t="s">
        <v>32</v>
      </c>
      <c r="Q68" s="469" t="s">
        <v>33</v>
      </c>
      <c r="R68" s="469"/>
      <c r="S68" s="470"/>
      <c r="T68" s="103"/>
      <c r="U68" s="49"/>
      <c r="V68" s="326"/>
      <c r="W68" s="326"/>
      <c r="Y68" s="328"/>
    </row>
    <row r="69" spans="3:25" s="327" customFormat="1" ht="18.75" x14ac:dyDescent="0.3">
      <c r="C69" s="348"/>
      <c r="D69" s="9"/>
      <c r="E69" s="170"/>
      <c r="F69" s="44" t="s">
        <v>34</v>
      </c>
      <c r="G69" s="45" t="s">
        <v>35</v>
      </c>
      <c r="H69" s="482" t="s">
        <v>36</v>
      </c>
      <c r="I69" s="483"/>
      <c r="J69" s="483"/>
      <c r="K69" s="484"/>
      <c r="L69" s="3"/>
      <c r="M69" s="36" t="str">
        <f>IF(L69="", "", --LEFT(L69, FIND(" ", L69)-1) * 12)</f>
        <v/>
      </c>
      <c r="N69" s="41">
        <v>10</v>
      </c>
      <c r="O69" s="8" t="str">
        <f>IF(OR(M69="", N69=""), "", M69 * N69)</f>
        <v/>
      </c>
      <c r="P69" s="42" t="s">
        <v>37</v>
      </c>
      <c r="Q69" s="494" t="s">
        <v>38</v>
      </c>
      <c r="R69" s="461"/>
      <c r="S69" s="487"/>
      <c r="T69" s="104"/>
      <c r="U69" s="32"/>
      <c r="V69" s="329"/>
      <c r="W69" s="329"/>
      <c r="Y69" s="328" t="s">
        <v>39</v>
      </c>
    </row>
    <row r="70" spans="3:25" ht="18.75" x14ac:dyDescent="0.3">
      <c r="C70" s="322"/>
      <c r="D70" s="9"/>
      <c r="E70" s="170"/>
      <c r="F70" s="44" t="s">
        <v>34</v>
      </c>
      <c r="G70" s="46" t="s">
        <v>35</v>
      </c>
      <c r="H70" s="482" t="s">
        <v>40</v>
      </c>
      <c r="I70" s="483"/>
      <c r="J70" s="483"/>
      <c r="K70" s="484"/>
      <c r="L70" s="3"/>
      <c r="M70" s="36" t="str">
        <f>IF(L70="", "", --LEFT(L70, FIND(" ", L70)-1) * 20)</f>
        <v/>
      </c>
      <c r="N70" s="43">
        <v>6</v>
      </c>
      <c r="O70" s="8" t="str">
        <f>IF(OR(M70="", N70=""), "", M70 * N70)</f>
        <v/>
      </c>
      <c r="P70" s="21" t="s">
        <v>41</v>
      </c>
      <c r="Q70" s="460" t="s">
        <v>42</v>
      </c>
      <c r="R70" s="461"/>
      <c r="S70" s="487"/>
      <c r="T70" s="104"/>
      <c r="U70" s="32"/>
      <c r="V70" s="329"/>
      <c r="W70" s="329"/>
      <c r="Y70" s="317" t="s">
        <v>43</v>
      </c>
    </row>
    <row r="71" spans="3:25" ht="18.75" x14ac:dyDescent="0.3">
      <c r="C71" s="322"/>
      <c r="D71" s="9"/>
      <c r="E71" s="170"/>
      <c r="F71" s="44" t="s">
        <v>34</v>
      </c>
      <c r="G71" s="46" t="s">
        <v>35</v>
      </c>
      <c r="H71" s="482" t="s">
        <v>44</v>
      </c>
      <c r="I71" s="483"/>
      <c r="J71" s="483"/>
      <c r="K71" s="484"/>
      <c r="L71" s="3"/>
      <c r="M71" s="36" t="str">
        <f>IF(L71="", "", --LEFT(L71, FIND(" ", L71)-1) * 6)</f>
        <v/>
      </c>
      <c r="N71" s="43">
        <v>14</v>
      </c>
      <c r="O71" s="8" t="str">
        <f t="shared" ref="O71:O74" si="0">IF(OR(M71="", N71=""), "", M71 * N71)</f>
        <v/>
      </c>
      <c r="P71" s="21" t="s">
        <v>45</v>
      </c>
      <c r="Q71" s="460" t="s">
        <v>46</v>
      </c>
      <c r="R71" s="461"/>
      <c r="S71" s="487"/>
      <c r="T71" s="104"/>
      <c r="U71" s="32"/>
      <c r="V71" s="329"/>
      <c r="W71" s="329"/>
    </row>
    <row r="72" spans="3:25" ht="18.75" x14ac:dyDescent="0.3">
      <c r="C72" s="322"/>
      <c r="D72" s="9"/>
      <c r="E72" s="170"/>
      <c r="F72" s="44" t="s">
        <v>34</v>
      </c>
      <c r="G72" s="46" t="s">
        <v>35</v>
      </c>
      <c r="H72" s="482" t="s">
        <v>47</v>
      </c>
      <c r="I72" s="483"/>
      <c r="J72" s="483"/>
      <c r="K72" s="484"/>
      <c r="L72" s="3"/>
      <c r="M72" s="36" t="str">
        <f>IF(L72="", "", --LEFT(L72, FIND(" ", L72)-1) * 16)</f>
        <v/>
      </c>
      <c r="N72" s="43">
        <v>8.5</v>
      </c>
      <c r="O72" s="8" t="str">
        <f t="shared" si="0"/>
        <v/>
      </c>
      <c r="P72" s="19" t="s">
        <v>48</v>
      </c>
      <c r="Q72" s="460" t="s">
        <v>42</v>
      </c>
      <c r="R72" s="461"/>
      <c r="S72" s="487"/>
      <c r="T72" s="104"/>
      <c r="U72" s="32"/>
      <c r="V72" s="329"/>
      <c r="W72" s="329"/>
      <c r="Y72" s="317" t="s">
        <v>49</v>
      </c>
    </row>
    <row r="73" spans="3:25" ht="18.75" x14ac:dyDescent="0.3">
      <c r="C73" s="322"/>
      <c r="D73" s="9"/>
      <c r="E73" s="170"/>
      <c r="F73" s="44" t="s">
        <v>34</v>
      </c>
      <c r="G73" s="46" t="s">
        <v>35</v>
      </c>
      <c r="H73" s="482" t="s">
        <v>50</v>
      </c>
      <c r="I73" s="483"/>
      <c r="J73" s="483"/>
      <c r="K73" s="484"/>
      <c r="L73" s="188"/>
      <c r="M73" s="36" t="str">
        <f>IF(L73="", "", --LEFT(L73, FIND(" ", L73)-1) * 16)</f>
        <v/>
      </c>
      <c r="N73" s="43">
        <v>7</v>
      </c>
      <c r="O73" s="8" t="str">
        <f t="shared" si="0"/>
        <v/>
      </c>
      <c r="P73" s="19" t="s">
        <v>48</v>
      </c>
      <c r="Q73" s="460" t="s">
        <v>42</v>
      </c>
      <c r="R73" s="461"/>
      <c r="S73" s="487"/>
      <c r="T73" s="104"/>
      <c r="U73" s="32"/>
      <c r="V73" s="329"/>
      <c r="W73" s="329"/>
    </row>
    <row r="74" spans="3:25" ht="18.75" x14ac:dyDescent="0.3">
      <c r="C74" s="322"/>
      <c r="D74" s="9"/>
      <c r="E74" s="170"/>
      <c r="F74" s="47" t="s">
        <v>34</v>
      </c>
      <c r="G74" s="40" t="s">
        <v>35</v>
      </c>
      <c r="H74" s="482" t="s">
        <v>51</v>
      </c>
      <c r="I74" s="483"/>
      <c r="J74" s="483"/>
      <c r="K74" s="484"/>
      <c r="L74" s="3"/>
      <c r="M74" s="36" t="str">
        <f>IF(L74="", "", --LEFT(L74, FIND(" ", L74)-1) * 24)</f>
        <v/>
      </c>
      <c r="N74" s="43">
        <v>8.15</v>
      </c>
      <c r="O74" s="8" t="str">
        <f t="shared" si="0"/>
        <v/>
      </c>
      <c r="P74" s="19" t="s">
        <v>48</v>
      </c>
      <c r="Q74" s="460" t="s">
        <v>42</v>
      </c>
      <c r="R74" s="461"/>
      <c r="S74" s="487"/>
      <c r="T74" s="104"/>
      <c r="U74" s="32"/>
      <c r="V74" s="329"/>
      <c r="W74" s="329"/>
    </row>
    <row r="75" spans="3:25" ht="18.75" x14ac:dyDescent="0.3">
      <c r="C75" s="322"/>
      <c r="D75" s="9"/>
      <c r="E75" s="170"/>
      <c r="F75" s="47" t="s">
        <v>34</v>
      </c>
      <c r="G75" s="40" t="s">
        <v>35</v>
      </c>
      <c r="H75" s="482" t="s">
        <v>52</v>
      </c>
      <c r="I75" s="483"/>
      <c r="J75" s="483"/>
      <c r="K75" s="484"/>
      <c r="L75" s="3"/>
      <c r="M75" s="36" t="str">
        <f>IF(L75="", "", --LEFT(L75, FIND(" ", L75)-1) * 20)</f>
        <v/>
      </c>
      <c r="N75" s="43">
        <v>8.1999999999999993</v>
      </c>
      <c r="O75" s="8" t="str">
        <f>IF(OR(M75="", N75=""), "", M75 * N75)</f>
        <v/>
      </c>
      <c r="P75" s="19" t="s">
        <v>53</v>
      </c>
      <c r="Q75" s="463" t="s">
        <v>42</v>
      </c>
      <c r="R75" s="464"/>
      <c r="S75" s="495"/>
      <c r="T75" s="104"/>
      <c r="U75" s="32"/>
      <c r="V75" s="329"/>
      <c r="W75" s="329"/>
    </row>
    <row r="76" spans="3:25" ht="21.75" thickBot="1" x14ac:dyDescent="0.4">
      <c r="C76" s="322"/>
      <c r="D76" s="9"/>
      <c r="E76" s="170"/>
      <c r="F76" s="212"/>
      <c r="G76" s="213"/>
      <c r="H76" s="213"/>
      <c r="I76" s="213"/>
      <c r="J76" s="213"/>
      <c r="K76" s="214" t="s">
        <v>2744</v>
      </c>
      <c r="L76" s="443" cm="1">
        <f t="array" ref="L76">SUMPRODUCT(--(IFERROR(VALUE(LEFT(L69:L75,FIND(" ",L69:L75)-1)),0)))</f>
        <v>0</v>
      </c>
      <c r="M76" s="444"/>
      <c r="N76" s="207"/>
      <c r="O76" s="18">
        <f>SUBTOTAL(9,O69:O75)</f>
        <v>0</v>
      </c>
      <c r="P76" s="209"/>
      <c r="Q76" s="207"/>
      <c r="R76" s="210"/>
      <c r="S76" s="211"/>
      <c r="T76" s="105"/>
      <c r="U76" s="32"/>
      <c r="V76" s="329"/>
      <c r="W76" s="329"/>
    </row>
    <row r="77" spans="3:25" ht="33" customHeight="1" thickTop="1" x14ac:dyDescent="0.25">
      <c r="C77" s="322"/>
      <c r="D77" s="9"/>
      <c r="E77" s="170"/>
      <c r="F77" s="215"/>
      <c r="G77" s="309"/>
      <c r="H77" s="208"/>
      <c r="I77" s="208"/>
      <c r="J77" s="208"/>
      <c r="K77" s="208"/>
      <c r="L77" s="208"/>
      <c r="M77" s="208"/>
      <c r="N77" s="208"/>
      <c r="O77" s="208"/>
      <c r="P77" s="208"/>
      <c r="Q77" s="207"/>
      <c r="R77" s="210"/>
      <c r="S77" s="211"/>
      <c r="T77" s="105"/>
      <c r="U77" s="32"/>
      <c r="V77" s="329"/>
      <c r="W77" s="329"/>
    </row>
    <row r="78" spans="3:25" ht="38.25" customHeight="1" x14ac:dyDescent="0.25">
      <c r="C78" s="322"/>
      <c r="D78" s="9"/>
      <c r="E78" s="170"/>
      <c r="F78" s="217"/>
      <c r="G78" s="217"/>
      <c r="H78" s="488" t="s">
        <v>54</v>
      </c>
      <c r="I78" s="488"/>
      <c r="J78" s="488"/>
      <c r="K78" s="489"/>
      <c r="L78" s="191" t="s">
        <v>28</v>
      </c>
      <c r="M78" s="362" t="s">
        <v>29</v>
      </c>
      <c r="N78" s="204" t="s">
        <v>30</v>
      </c>
      <c r="O78" s="205" t="s">
        <v>31</v>
      </c>
      <c r="P78" s="207"/>
      <c r="Q78" s="207"/>
      <c r="R78" s="210"/>
      <c r="S78" s="211"/>
      <c r="T78" s="105"/>
      <c r="U78" s="35"/>
      <c r="V78" s="330"/>
      <c r="W78" s="330"/>
    </row>
    <row r="79" spans="3:25" ht="18.75" x14ac:dyDescent="0.3">
      <c r="C79" s="322"/>
      <c r="D79" s="9"/>
      <c r="E79" s="170"/>
      <c r="F79" s="39" t="s">
        <v>55</v>
      </c>
      <c r="G79" s="40" t="s">
        <v>56</v>
      </c>
      <c r="H79" s="482" t="s">
        <v>57</v>
      </c>
      <c r="I79" s="483"/>
      <c r="J79" s="483"/>
      <c r="K79" s="484"/>
      <c r="L79" s="3"/>
      <c r="M79" s="36" t="str">
        <f>IF(L79="", "", --LEFT(L79, FIND(" ", L79)-1) * 2)</f>
        <v/>
      </c>
      <c r="N79" s="37">
        <v>35</v>
      </c>
      <c r="O79" s="7" t="str">
        <f>IF(OR(M79="", N79=""), "", M79 * N79)</f>
        <v/>
      </c>
      <c r="P79" s="309"/>
      <c r="Q79" s="207"/>
      <c r="R79" s="210"/>
      <c r="S79" s="211"/>
      <c r="T79" s="105"/>
      <c r="U79" s="35"/>
      <c r="V79" s="330"/>
      <c r="W79" s="330"/>
    </row>
    <row r="80" spans="3:25" ht="18.75" x14ac:dyDescent="0.3">
      <c r="C80" s="322"/>
      <c r="D80" s="9"/>
      <c r="E80" s="170"/>
      <c r="F80" s="39" t="s">
        <v>58</v>
      </c>
      <c r="G80" s="40" t="s">
        <v>56</v>
      </c>
      <c r="H80" s="482" t="s">
        <v>1894</v>
      </c>
      <c r="I80" s="483"/>
      <c r="J80" s="483"/>
      <c r="K80" s="484"/>
      <c r="L80" s="3"/>
      <c r="M80" s="36" t="str">
        <f>IF(L80="", "", --LEFT(L80, FIND(" ", L80)-1) * 6)</f>
        <v/>
      </c>
      <c r="N80" s="37">
        <v>19</v>
      </c>
      <c r="O80" s="7" t="str">
        <f t="shared" ref="O80:O81" si="1">IF(OR(M80="", N80=""), "", M80 * N80)</f>
        <v/>
      </c>
      <c r="P80" s="207"/>
      <c r="Q80" s="207"/>
      <c r="R80" s="210"/>
      <c r="S80" s="211"/>
      <c r="T80" s="105"/>
      <c r="U80" s="35"/>
      <c r="V80" s="330"/>
      <c r="W80" s="330"/>
    </row>
    <row r="81" spans="3:23" ht="18.75" x14ac:dyDescent="0.3">
      <c r="C81" s="322"/>
      <c r="D81" s="9"/>
      <c r="E81" s="170"/>
      <c r="F81" s="39" t="s">
        <v>59</v>
      </c>
      <c r="G81" s="40" t="s">
        <v>56</v>
      </c>
      <c r="H81" s="482" t="s">
        <v>1893</v>
      </c>
      <c r="I81" s="483"/>
      <c r="J81" s="483"/>
      <c r="K81" s="484"/>
      <c r="L81" s="3"/>
      <c r="M81" s="36" t="str">
        <f>IF(L81="", "", --LEFT(L81, FIND(" ", L81)-1) * 16)</f>
        <v/>
      </c>
      <c r="N81" s="38">
        <v>10</v>
      </c>
      <c r="O81" s="7" t="str">
        <f t="shared" si="1"/>
        <v/>
      </c>
      <c r="P81" s="207"/>
      <c r="Q81" s="207"/>
      <c r="R81" s="210"/>
      <c r="S81" s="211"/>
      <c r="T81" s="105"/>
      <c r="U81" s="35"/>
    </row>
    <row r="82" spans="3:23" ht="24.95" customHeight="1" thickBot="1" x14ac:dyDescent="0.4">
      <c r="C82" s="322"/>
      <c r="D82" s="9"/>
      <c r="E82" s="170"/>
      <c r="F82" s="212"/>
      <c r="G82" s="213"/>
      <c r="H82" s="213"/>
      <c r="I82" s="213"/>
      <c r="J82" s="213"/>
      <c r="K82" s="214" t="s">
        <v>2746</v>
      </c>
      <c r="L82" s="443" cm="1">
        <f t="array" ref="L82">SUMPRODUCT(--(IFERROR(VALUE(LEFT(L79:L81,FIND(" ",L79:L81)-1)),0)))</f>
        <v>0</v>
      </c>
      <c r="M82" s="444"/>
      <c r="N82" s="207"/>
      <c r="O82" s="23">
        <f>SUBTOTAL(9,O79:O81)</f>
        <v>0</v>
      </c>
      <c r="P82" s="207"/>
      <c r="Q82" s="207"/>
      <c r="R82" s="210"/>
      <c r="S82" s="211"/>
      <c r="T82" s="105"/>
      <c r="U82" s="35"/>
    </row>
    <row r="83" spans="3:23" ht="46.5" customHeight="1" thickTop="1" x14ac:dyDescent="0.55000000000000004">
      <c r="C83" s="322"/>
      <c r="D83" s="9"/>
      <c r="E83" s="170"/>
      <c r="F83" s="215"/>
      <c r="G83" s="208"/>
      <c r="H83" s="453" t="s">
        <v>60</v>
      </c>
      <c r="I83" s="453"/>
      <c r="J83" s="453"/>
      <c r="K83" s="453"/>
      <c r="L83" s="208"/>
      <c r="M83" s="208"/>
      <c r="N83" s="208"/>
      <c r="O83" s="208"/>
      <c r="P83" s="208"/>
      <c r="Q83" s="208"/>
      <c r="R83" s="210"/>
      <c r="S83" s="211"/>
      <c r="T83" s="105"/>
      <c r="U83" s="35"/>
    </row>
    <row r="84" spans="3:23" ht="49.5" customHeight="1" x14ac:dyDescent="0.25">
      <c r="C84" s="322"/>
      <c r="D84" s="9"/>
      <c r="E84" s="170"/>
      <c r="F84" s="216"/>
      <c r="G84" s="208"/>
      <c r="H84" s="402" t="s">
        <v>2759</v>
      </c>
      <c r="I84" s="402"/>
      <c r="J84" s="402"/>
      <c r="K84" s="403"/>
      <c r="L84" s="189" t="s">
        <v>28</v>
      </c>
      <c r="M84" s="190" t="s">
        <v>61</v>
      </c>
      <c r="N84" s="204" t="s">
        <v>30</v>
      </c>
      <c r="O84" s="205" t="s">
        <v>31</v>
      </c>
      <c r="P84" s="204" t="s">
        <v>32</v>
      </c>
      <c r="Q84" s="469" t="s">
        <v>33</v>
      </c>
      <c r="R84" s="469"/>
      <c r="S84" s="470"/>
      <c r="T84" s="103"/>
      <c r="U84" s="35"/>
    </row>
    <row r="85" spans="3:23" ht="18.75" x14ac:dyDescent="0.3">
      <c r="C85" s="322"/>
      <c r="D85" s="9"/>
      <c r="E85" s="170"/>
      <c r="F85" s="168" t="s">
        <v>75</v>
      </c>
      <c r="G85" s="20" t="s">
        <v>991</v>
      </c>
      <c r="H85" s="390" t="s">
        <v>469</v>
      </c>
      <c r="I85" s="391"/>
      <c r="J85" s="391" t="s">
        <v>470</v>
      </c>
      <c r="K85" s="392"/>
      <c r="L85" s="1"/>
      <c r="M85" s="2"/>
      <c r="N85" s="19">
        <v>20</v>
      </c>
      <c r="O85" s="22" t="str">
        <f>IF(AND(L85="",M85=""),"",(L85*N85)+(M85*(N85+2.25)))</f>
        <v/>
      </c>
      <c r="P85" s="20" t="s">
        <v>349</v>
      </c>
      <c r="Q85" s="396" t="s">
        <v>341</v>
      </c>
      <c r="R85" s="397"/>
      <c r="S85" s="398"/>
      <c r="T85" s="106"/>
      <c r="U85" s="32"/>
    </row>
    <row r="86" spans="3:23" ht="18.75" x14ac:dyDescent="0.3">
      <c r="C86" s="322"/>
      <c r="D86" s="9"/>
      <c r="E86" s="170"/>
      <c r="F86" s="168" t="s">
        <v>75</v>
      </c>
      <c r="G86" s="20" t="s">
        <v>991</v>
      </c>
      <c r="H86" s="393" t="s">
        <v>1012</v>
      </c>
      <c r="I86" s="394"/>
      <c r="J86" s="394" t="s">
        <v>1013</v>
      </c>
      <c r="K86" s="395"/>
      <c r="L86" s="1"/>
      <c r="M86" s="2"/>
      <c r="N86" s="19">
        <v>20</v>
      </c>
      <c r="O86" s="22" t="str">
        <f t="shared" ref="O86:O92" si="2">IF(AND(L86="",M86=""),"",(L86*N86)+(M86*(N86+2.25)))</f>
        <v/>
      </c>
      <c r="P86" s="19" t="s">
        <v>344</v>
      </c>
      <c r="Q86" s="396" t="s">
        <v>341</v>
      </c>
      <c r="R86" s="397"/>
      <c r="S86" s="398"/>
      <c r="T86" s="106"/>
      <c r="U86" s="32"/>
    </row>
    <row r="87" spans="3:23" ht="18.75" x14ac:dyDescent="0.3">
      <c r="C87" s="322"/>
      <c r="D87" s="9"/>
      <c r="E87" s="170"/>
      <c r="F87" s="168" t="s">
        <v>75</v>
      </c>
      <c r="G87" s="20" t="s">
        <v>991</v>
      </c>
      <c r="H87" s="393" t="s">
        <v>992</v>
      </c>
      <c r="I87" s="394"/>
      <c r="J87" s="394" t="s">
        <v>993</v>
      </c>
      <c r="K87" s="395"/>
      <c r="L87" s="1"/>
      <c r="M87" s="2"/>
      <c r="N87" s="19">
        <v>20</v>
      </c>
      <c r="O87" s="22" t="str">
        <f t="shared" si="2"/>
        <v/>
      </c>
      <c r="P87" s="19" t="s">
        <v>486</v>
      </c>
      <c r="Q87" s="396" t="s">
        <v>341</v>
      </c>
      <c r="R87" s="397"/>
      <c r="S87" s="398"/>
      <c r="T87" s="106"/>
      <c r="U87" s="32"/>
    </row>
    <row r="88" spans="3:23" ht="18.75" x14ac:dyDescent="0.3">
      <c r="C88" s="322"/>
      <c r="D88" s="9"/>
      <c r="E88" s="170"/>
      <c r="F88" s="168" t="s">
        <v>75</v>
      </c>
      <c r="G88" s="20" t="s">
        <v>991</v>
      </c>
      <c r="H88" s="393" t="s">
        <v>1001</v>
      </c>
      <c r="I88" s="394"/>
      <c r="J88" s="394" t="s">
        <v>1002</v>
      </c>
      <c r="K88" s="395"/>
      <c r="L88" s="1"/>
      <c r="M88" s="2"/>
      <c r="N88" s="19">
        <v>20</v>
      </c>
      <c r="O88" s="22" t="str">
        <f t="shared" si="2"/>
        <v/>
      </c>
      <c r="P88" s="19" t="s">
        <v>486</v>
      </c>
      <c r="Q88" s="396" t="s">
        <v>341</v>
      </c>
      <c r="R88" s="397"/>
      <c r="S88" s="398"/>
      <c r="T88" s="106"/>
      <c r="U88" s="32"/>
    </row>
    <row r="89" spans="3:23" ht="18.75" x14ac:dyDescent="0.3">
      <c r="C89" s="322"/>
      <c r="D89" s="9"/>
      <c r="E89" s="170"/>
      <c r="F89" s="168" t="s">
        <v>75</v>
      </c>
      <c r="G89" s="20" t="s">
        <v>991</v>
      </c>
      <c r="H89" s="376" t="s">
        <v>1150</v>
      </c>
      <c r="I89" s="376"/>
      <c r="J89" s="376" t="s">
        <v>1151</v>
      </c>
      <c r="K89" s="376"/>
      <c r="L89" s="1"/>
      <c r="M89" s="2"/>
      <c r="N89" s="19">
        <v>20</v>
      </c>
      <c r="O89" s="22" t="str">
        <f t="shared" si="2"/>
        <v/>
      </c>
      <c r="P89" s="21" t="s">
        <v>448</v>
      </c>
      <c r="Q89" s="396" t="s">
        <v>341</v>
      </c>
      <c r="R89" s="397"/>
      <c r="S89" s="398"/>
      <c r="T89" s="106"/>
      <c r="U89" s="32"/>
    </row>
    <row r="90" spans="3:23" ht="18.75" x14ac:dyDescent="0.3">
      <c r="C90" s="322"/>
      <c r="D90" s="9"/>
      <c r="E90" s="170"/>
      <c r="F90" s="168" t="s">
        <v>75</v>
      </c>
      <c r="G90" s="20" t="s">
        <v>991</v>
      </c>
      <c r="H90" s="376" t="s">
        <v>1245</v>
      </c>
      <c r="I90" s="376"/>
      <c r="J90" s="376" t="s">
        <v>1246</v>
      </c>
      <c r="K90" s="376"/>
      <c r="L90" s="1"/>
      <c r="M90" s="2"/>
      <c r="N90" s="19">
        <v>20</v>
      </c>
      <c r="O90" s="22" t="str">
        <f t="shared" si="2"/>
        <v/>
      </c>
      <c r="P90" s="19" t="s">
        <v>349</v>
      </c>
      <c r="Q90" s="396" t="s">
        <v>341</v>
      </c>
      <c r="R90" s="397"/>
      <c r="S90" s="398"/>
      <c r="T90" s="106"/>
      <c r="U90" s="32"/>
    </row>
    <row r="91" spans="3:23" ht="18.75" x14ac:dyDescent="0.3">
      <c r="C91" s="322"/>
      <c r="D91" s="9"/>
      <c r="E91" s="170"/>
      <c r="F91" s="168" t="s">
        <v>75</v>
      </c>
      <c r="G91" s="20" t="s">
        <v>991</v>
      </c>
      <c r="H91" s="377" t="s">
        <v>1288</v>
      </c>
      <c r="I91" s="377"/>
      <c r="J91" s="377" t="s">
        <v>1289</v>
      </c>
      <c r="K91" s="377"/>
      <c r="L91" s="1"/>
      <c r="M91" s="2"/>
      <c r="N91" s="19">
        <v>20</v>
      </c>
      <c r="O91" s="22" t="str">
        <f t="shared" si="2"/>
        <v/>
      </c>
      <c r="P91" s="19" t="s">
        <v>97</v>
      </c>
      <c r="Q91" s="396" t="s">
        <v>341</v>
      </c>
      <c r="R91" s="397"/>
      <c r="S91" s="398"/>
      <c r="T91" s="106"/>
      <c r="U91" s="32"/>
    </row>
    <row r="92" spans="3:23" ht="18.75" x14ac:dyDescent="0.3">
      <c r="C92" s="322"/>
      <c r="D92" s="9"/>
      <c r="E92" s="170"/>
      <c r="F92" s="168" t="s">
        <v>75</v>
      </c>
      <c r="G92" s="20" t="s">
        <v>1728</v>
      </c>
      <c r="H92" s="376" t="s">
        <v>1302</v>
      </c>
      <c r="I92" s="376"/>
      <c r="J92" s="376" t="s">
        <v>1559</v>
      </c>
      <c r="K92" s="376"/>
      <c r="L92" s="1"/>
      <c r="M92" s="2"/>
      <c r="N92" s="19">
        <v>75</v>
      </c>
      <c r="O92" s="22" t="str">
        <f t="shared" si="2"/>
        <v/>
      </c>
      <c r="P92" s="19" t="s">
        <v>1865</v>
      </c>
      <c r="Q92" s="375" t="s">
        <v>72</v>
      </c>
      <c r="R92" s="375"/>
      <c r="S92" s="375"/>
      <c r="T92" s="106"/>
      <c r="U92" s="32"/>
    </row>
    <row r="93" spans="3:23" ht="21.75" thickBot="1" x14ac:dyDescent="0.4">
      <c r="C93" s="322"/>
      <c r="D93" s="9"/>
      <c r="E93" s="170"/>
      <c r="F93" s="215"/>
      <c r="G93" s="208"/>
      <c r="H93" s="208"/>
      <c r="I93" s="208"/>
      <c r="J93" s="208"/>
      <c r="K93" s="214" t="s">
        <v>2746</v>
      </c>
      <c r="L93" s="85">
        <f>SUBTOTAL(9,L85:L92)/6</f>
        <v>0</v>
      </c>
      <c r="M93" s="85">
        <f>SUBTOTAL(9,M85:M92)/6</f>
        <v>0</v>
      </c>
      <c r="N93" s="310"/>
      <c r="O93" s="310"/>
      <c r="P93" s="208"/>
      <c r="Q93" s="400"/>
      <c r="R93" s="400"/>
      <c r="S93" s="401"/>
      <c r="T93" s="106"/>
      <c r="U93" s="32"/>
      <c r="V93" s="317"/>
      <c r="W93" s="317"/>
    </row>
    <row r="94" spans="3:23" ht="19.5" thickTop="1" x14ac:dyDescent="0.3">
      <c r="C94" s="322"/>
      <c r="D94" s="9"/>
      <c r="E94" s="170"/>
      <c r="F94" s="167" t="s">
        <v>62</v>
      </c>
      <c r="G94" s="81" t="s">
        <v>2252</v>
      </c>
      <c r="H94" s="454" t="s">
        <v>69</v>
      </c>
      <c r="I94" s="455"/>
      <c r="J94" s="455" t="s">
        <v>70</v>
      </c>
      <c r="K94" s="456"/>
      <c r="L94" s="1"/>
      <c r="M94" s="2"/>
      <c r="N94" s="82">
        <v>50</v>
      </c>
      <c r="O94" s="22" t="str">
        <f>IF(AND(L94="",M94=""),"",(L94*N94)+(M94*(N94+3.47)))</f>
        <v/>
      </c>
      <c r="P94" s="82" t="s">
        <v>71</v>
      </c>
      <c r="Q94" s="471" t="s">
        <v>72</v>
      </c>
      <c r="R94" s="472"/>
      <c r="S94" s="473"/>
      <c r="T94" s="104"/>
      <c r="U94" s="32"/>
    </row>
    <row r="95" spans="3:23" ht="18.75" x14ac:dyDescent="0.3">
      <c r="C95" s="322"/>
      <c r="D95" s="9"/>
      <c r="E95" s="170"/>
      <c r="F95" s="168" t="s">
        <v>62</v>
      </c>
      <c r="G95" s="20" t="s">
        <v>991</v>
      </c>
      <c r="H95" s="393" t="s">
        <v>1423</v>
      </c>
      <c r="I95" s="394"/>
      <c r="J95" s="394" t="s">
        <v>1424</v>
      </c>
      <c r="K95" s="395"/>
      <c r="L95" s="1"/>
      <c r="M95" s="2"/>
      <c r="N95" s="19">
        <v>30</v>
      </c>
      <c r="O95" s="22" t="str">
        <f t="shared" ref="O95:O98" si="3">IF(AND(L95="",M95=""),"",(L95*N95)+(M95*(N95+3.47)))</f>
        <v/>
      </c>
      <c r="P95" s="19" t="s">
        <v>600</v>
      </c>
      <c r="Q95" s="396" t="s">
        <v>66</v>
      </c>
      <c r="R95" s="397"/>
      <c r="S95" s="398"/>
      <c r="T95" s="106"/>
      <c r="U95" s="32"/>
    </row>
    <row r="96" spans="3:23" ht="18.75" x14ac:dyDescent="0.3">
      <c r="C96" s="322"/>
      <c r="D96" s="9"/>
      <c r="E96" s="170"/>
      <c r="F96" s="168" t="s">
        <v>62</v>
      </c>
      <c r="G96" s="20" t="s">
        <v>991</v>
      </c>
      <c r="H96" s="393" t="s">
        <v>1426</v>
      </c>
      <c r="I96" s="394"/>
      <c r="J96" s="394" t="s">
        <v>1427</v>
      </c>
      <c r="K96" s="395"/>
      <c r="L96" s="1"/>
      <c r="M96" s="2"/>
      <c r="N96" s="19">
        <v>30</v>
      </c>
      <c r="O96" s="22" t="str">
        <f t="shared" si="3"/>
        <v/>
      </c>
      <c r="P96" s="19" t="s">
        <v>245</v>
      </c>
      <c r="Q96" s="396" t="s">
        <v>66</v>
      </c>
      <c r="R96" s="397"/>
      <c r="S96" s="398"/>
      <c r="T96" s="106"/>
      <c r="U96" s="32"/>
    </row>
    <row r="97" spans="3:21" ht="18.75" x14ac:dyDescent="0.3">
      <c r="C97" s="322"/>
      <c r="D97" s="9"/>
      <c r="E97" s="170"/>
      <c r="F97" s="168" t="s">
        <v>62</v>
      </c>
      <c r="G97" s="20" t="s">
        <v>991</v>
      </c>
      <c r="H97" s="390" t="s">
        <v>2557</v>
      </c>
      <c r="I97" s="391"/>
      <c r="J97" s="391" t="s">
        <v>64</v>
      </c>
      <c r="K97" s="392"/>
      <c r="L97" s="1"/>
      <c r="M97" s="2"/>
      <c r="N97" s="19">
        <v>30</v>
      </c>
      <c r="O97" s="22" t="str">
        <f t="shared" si="3"/>
        <v/>
      </c>
      <c r="P97" s="19" t="s">
        <v>65</v>
      </c>
      <c r="Q97" s="396" t="s">
        <v>66</v>
      </c>
      <c r="R97" s="397"/>
      <c r="S97" s="398"/>
      <c r="T97" s="106"/>
      <c r="U97" s="32"/>
    </row>
    <row r="98" spans="3:21" ht="18.75" x14ac:dyDescent="0.3">
      <c r="C98" s="322"/>
      <c r="D98" s="9"/>
      <c r="E98" s="170"/>
      <c r="F98" s="168" t="s">
        <v>62</v>
      </c>
      <c r="G98" s="20" t="s">
        <v>1728</v>
      </c>
      <c r="H98" s="376" t="s">
        <v>1302</v>
      </c>
      <c r="I98" s="376"/>
      <c r="J98" s="376" t="s">
        <v>1559</v>
      </c>
      <c r="K98" s="376"/>
      <c r="L98" s="1"/>
      <c r="M98" s="2"/>
      <c r="N98" s="19">
        <v>100</v>
      </c>
      <c r="O98" s="22" t="str">
        <f t="shared" si="3"/>
        <v/>
      </c>
      <c r="P98" s="19" t="s">
        <v>1560</v>
      </c>
      <c r="Q98" s="375" t="s">
        <v>72</v>
      </c>
      <c r="R98" s="375"/>
      <c r="S98" s="375"/>
      <c r="T98" s="106"/>
      <c r="U98" s="32"/>
    </row>
    <row r="99" spans="3:21" ht="21.75" thickBot="1" x14ac:dyDescent="0.4">
      <c r="C99" s="322"/>
      <c r="D99" s="9"/>
      <c r="E99" s="170"/>
      <c r="F99" s="212"/>
      <c r="G99" s="213"/>
      <c r="H99" s="213"/>
      <c r="I99" s="213"/>
      <c r="J99" s="213"/>
      <c r="K99" s="214" t="s">
        <v>2746</v>
      </c>
      <c r="L99" s="85">
        <f>SUBTOTAL(9,L94:L98)/6</f>
        <v>0</v>
      </c>
      <c r="M99" s="85">
        <f>SUBTOTAL(9,M94:M98)/6</f>
        <v>0</v>
      </c>
      <c r="N99" s="224"/>
      <c r="O99" s="23">
        <f>SUBTOTAL(9,O85:O98)</f>
        <v>0</v>
      </c>
      <c r="P99" s="207"/>
      <c r="Q99" s="207"/>
      <c r="R99" s="210"/>
      <c r="S99" s="211"/>
      <c r="T99" s="105"/>
      <c r="U99" s="35"/>
    </row>
    <row r="100" spans="3:21" ht="16.5" thickTop="1" x14ac:dyDescent="0.25">
      <c r="C100" s="322"/>
      <c r="D100" s="9"/>
      <c r="E100" s="170"/>
      <c r="F100" s="215"/>
      <c r="G100" s="208"/>
      <c r="H100" s="208"/>
      <c r="I100" s="208"/>
      <c r="J100" s="208"/>
      <c r="K100" s="208"/>
      <c r="L100" s="218"/>
      <c r="M100" s="218"/>
      <c r="N100" s="210"/>
      <c r="O100" s="208"/>
      <c r="P100" s="207"/>
      <c r="Q100" s="207"/>
      <c r="R100" s="210"/>
      <c r="S100" s="211"/>
      <c r="T100" s="105"/>
      <c r="U100" s="35"/>
    </row>
    <row r="101" spans="3:21" ht="34.5" x14ac:dyDescent="0.55000000000000004">
      <c r="C101" s="322"/>
      <c r="D101" s="9"/>
      <c r="E101" s="170"/>
      <c r="F101" s="218"/>
      <c r="G101" s="219"/>
      <c r="H101" s="415" t="s">
        <v>2253</v>
      </c>
      <c r="I101" s="415"/>
      <c r="J101" s="415"/>
      <c r="K101" s="415"/>
      <c r="L101" s="468" t="s">
        <v>73</v>
      </c>
      <c r="M101" s="468"/>
      <c r="N101" s="207"/>
      <c r="O101" s="207"/>
      <c r="P101" s="207"/>
      <c r="Q101" s="207"/>
      <c r="R101" s="210"/>
      <c r="S101" s="211"/>
      <c r="T101" s="105"/>
      <c r="U101" s="35"/>
    </row>
    <row r="102" spans="3:21" ht="49.5" customHeight="1" x14ac:dyDescent="0.25">
      <c r="C102" s="322"/>
      <c r="D102" s="9"/>
      <c r="E102" s="170"/>
      <c r="F102" s="220"/>
      <c r="G102" s="221"/>
      <c r="H102" s="402" t="s">
        <v>2764</v>
      </c>
      <c r="I102" s="402"/>
      <c r="J102" s="402"/>
      <c r="K102" s="403"/>
      <c r="L102" s="189" t="s">
        <v>28</v>
      </c>
      <c r="M102" s="190" t="s">
        <v>61</v>
      </c>
      <c r="N102" s="222" t="s">
        <v>74</v>
      </c>
      <c r="O102" s="205" t="s">
        <v>31</v>
      </c>
      <c r="P102" s="203" t="s">
        <v>32</v>
      </c>
      <c r="Q102" s="469" t="s">
        <v>33</v>
      </c>
      <c r="R102" s="469"/>
      <c r="S102" s="470"/>
      <c r="T102" s="103"/>
      <c r="U102" s="35"/>
    </row>
    <row r="103" spans="3:21" ht="18.75" x14ac:dyDescent="0.3">
      <c r="C103" s="322"/>
      <c r="D103" s="9"/>
      <c r="E103" s="170"/>
      <c r="F103" s="167" t="s">
        <v>75</v>
      </c>
      <c r="G103" s="81" t="s">
        <v>2252</v>
      </c>
      <c r="H103" s="454" t="s">
        <v>2245</v>
      </c>
      <c r="I103" s="455"/>
      <c r="J103" s="455"/>
      <c r="K103" s="456"/>
      <c r="L103" s="1"/>
      <c r="M103" s="86"/>
      <c r="N103" s="82">
        <v>75</v>
      </c>
      <c r="O103" s="22" t="str">
        <f>IF(AND(L103="",M103=""),"",(L103*N103)+(M103*(N103+2.25)))</f>
        <v/>
      </c>
      <c r="P103" s="82" t="s">
        <v>76</v>
      </c>
      <c r="Q103" s="471" t="s">
        <v>72</v>
      </c>
      <c r="R103" s="472"/>
      <c r="S103" s="473"/>
      <c r="T103" s="104"/>
      <c r="U103" s="32"/>
    </row>
    <row r="104" spans="3:21" ht="18.75" x14ac:dyDescent="0.3">
      <c r="C104" s="322"/>
      <c r="D104" s="9"/>
      <c r="E104" s="170"/>
      <c r="F104" s="167" t="s">
        <v>75</v>
      </c>
      <c r="G104" s="81" t="s">
        <v>2252</v>
      </c>
      <c r="H104" s="454" t="s">
        <v>269</v>
      </c>
      <c r="I104" s="455"/>
      <c r="J104" s="455" t="s">
        <v>270</v>
      </c>
      <c r="K104" s="456"/>
      <c r="L104" s="1"/>
      <c r="M104" s="86"/>
      <c r="N104" s="82">
        <v>75</v>
      </c>
      <c r="O104" s="22" t="str">
        <f>IF(AND(L104="",M104=""),"",(L104*N104)+(M104*(N104+2.25)))</f>
        <v/>
      </c>
      <c r="P104" s="82" t="s">
        <v>76</v>
      </c>
      <c r="Q104" s="471" t="s">
        <v>72</v>
      </c>
      <c r="R104" s="472"/>
      <c r="S104" s="473"/>
      <c r="T104" s="104"/>
      <c r="U104" s="32"/>
    </row>
    <row r="105" spans="3:21" ht="18.75" x14ac:dyDescent="0.3">
      <c r="C105" s="322"/>
      <c r="D105" s="9"/>
      <c r="E105" s="170"/>
      <c r="F105" s="169" t="s">
        <v>75</v>
      </c>
      <c r="G105" s="20" t="s">
        <v>1728</v>
      </c>
      <c r="H105" s="390" t="s">
        <v>258</v>
      </c>
      <c r="I105" s="391"/>
      <c r="J105" s="391" t="s">
        <v>259</v>
      </c>
      <c r="K105" s="392"/>
      <c r="L105" s="1"/>
      <c r="M105" s="86"/>
      <c r="N105" s="19">
        <v>75</v>
      </c>
      <c r="O105" s="22" t="str">
        <f t="shared" ref="O105:O129" si="4">IF(AND(L105="",M105=""),"",(L105*N105)+(M105*(N105+2.25)))</f>
        <v/>
      </c>
      <c r="P105" s="19" t="s">
        <v>260</v>
      </c>
      <c r="Q105" s="460" t="s">
        <v>72</v>
      </c>
      <c r="R105" s="461"/>
      <c r="S105" s="487"/>
      <c r="T105" s="104"/>
      <c r="U105" s="32"/>
    </row>
    <row r="106" spans="3:21" ht="18.75" x14ac:dyDescent="0.3">
      <c r="C106" s="322"/>
      <c r="D106" s="9"/>
      <c r="E106" s="170"/>
      <c r="F106" s="169" t="s">
        <v>75</v>
      </c>
      <c r="G106" s="20" t="s">
        <v>1728</v>
      </c>
      <c r="H106" s="393" t="s">
        <v>291</v>
      </c>
      <c r="I106" s="394"/>
      <c r="J106" s="394" t="s">
        <v>292</v>
      </c>
      <c r="K106" s="395"/>
      <c r="L106" s="1"/>
      <c r="M106" s="86"/>
      <c r="N106" s="19">
        <v>150</v>
      </c>
      <c r="O106" s="22" t="str">
        <f t="shared" si="4"/>
        <v/>
      </c>
      <c r="P106" s="19" t="s">
        <v>76</v>
      </c>
      <c r="Q106" s="460" t="s">
        <v>72</v>
      </c>
      <c r="R106" s="461"/>
      <c r="S106" s="487"/>
      <c r="T106" s="104"/>
      <c r="U106" s="32"/>
    </row>
    <row r="107" spans="3:21" ht="18.75" x14ac:dyDescent="0.3">
      <c r="C107" s="322"/>
      <c r="D107" s="9"/>
      <c r="E107" s="170"/>
      <c r="F107" s="169" t="s">
        <v>75</v>
      </c>
      <c r="G107" s="20" t="s">
        <v>1728</v>
      </c>
      <c r="H107" s="393" t="s">
        <v>2246</v>
      </c>
      <c r="I107" s="394"/>
      <c r="J107" s="394"/>
      <c r="K107" s="395"/>
      <c r="L107" s="1"/>
      <c r="M107" s="86"/>
      <c r="N107" s="19">
        <v>150</v>
      </c>
      <c r="O107" s="22" t="str">
        <f t="shared" si="4"/>
        <v/>
      </c>
      <c r="P107" s="19" t="s">
        <v>76</v>
      </c>
      <c r="Q107" s="460" t="s">
        <v>72</v>
      </c>
      <c r="R107" s="461"/>
      <c r="S107" s="487"/>
      <c r="T107" s="104"/>
      <c r="U107" s="32"/>
    </row>
    <row r="108" spans="3:21" ht="18.75" x14ac:dyDescent="0.3">
      <c r="C108" s="322"/>
      <c r="D108" s="9"/>
      <c r="E108" s="170"/>
      <c r="F108" s="169" t="s">
        <v>75</v>
      </c>
      <c r="G108" s="20" t="s">
        <v>1728</v>
      </c>
      <c r="H108" s="393" t="s">
        <v>1850</v>
      </c>
      <c r="I108" s="394"/>
      <c r="J108" s="394" t="s">
        <v>311</v>
      </c>
      <c r="K108" s="395"/>
      <c r="L108" s="1"/>
      <c r="M108" s="86"/>
      <c r="N108" s="19">
        <v>150</v>
      </c>
      <c r="O108" s="22" t="str">
        <f t="shared" si="4"/>
        <v/>
      </c>
      <c r="P108" s="19" t="s">
        <v>76</v>
      </c>
      <c r="Q108" s="460" t="s">
        <v>72</v>
      </c>
      <c r="R108" s="461"/>
      <c r="S108" s="487"/>
      <c r="T108" s="104"/>
      <c r="U108" s="32"/>
    </row>
    <row r="109" spans="3:21" ht="18.75" x14ac:dyDescent="0.3">
      <c r="C109" s="322"/>
      <c r="D109" s="9"/>
      <c r="E109" s="170"/>
      <c r="F109" s="169" t="s">
        <v>75</v>
      </c>
      <c r="G109" s="20" t="s">
        <v>1728</v>
      </c>
      <c r="H109" s="393" t="s">
        <v>315</v>
      </c>
      <c r="I109" s="394"/>
      <c r="J109" s="394" t="s">
        <v>316</v>
      </c>
      <c r="K109" s="395"/>
      <c r="L109" s="1"/>
      <c r="M109" s="86"/>
      <c r="N109" s="19">
        <v>150</v>
      </c>
      <c r="O109" s="22" t="str">
        <f t="shared" si="4"/>
        <v/>
      </c>
      <c r="P109" s="19" t="s">
        <v>76</v>
      </c>
      <c r="Q109" s="460" t="s">
        <v>72</v>
      </c>
      <c r="R109" s="461"/>
      <c r="S109" s="487"/>
      <c r="T109" s="104"/>
      <c r="U109" s="32"/>
    </row>
    <row r="110" spans="3:21" ht="18.75" x14ac:dyDescent="0.3">
      <c r="C110" s="322"/>
      <c r="D110" s="9"/>
      <c r="E110" s="170"/>
      <c r="F110" s="169" t="s">
        <v>75</v>
      </c>
      <c r="G110" s="20" t="s">
        <v>1728</v>
      </c>
      <c r="H110" s="393" t="s">
        <v>337</v>
      </c>
      <c r="I110" s="394"/>
      <c r="J110" s="394" t="s">
        <v>338</v>
      </c>
      <c r="K110" s="395"/>
      <c r="L110" s="1"/>
      <c r="M110" s="86"/>
      <c r="N110" s="19">
        <v>150</v>
      </c>
      <c r="O110" s="22" t="str">
        <f t="shared" si="4"/>
        <v/>
      </c>
      <c r="P110" s="19" t="s">
        <v>76</v>
      </c>
      <c r="Q110" s="460" t="s">
        <v>72</v>
      </c>
      <c r="R110" s="461"/>
      <c r="S110" s="487"/>
      <c r="T110" s="104"/>
      <c r="U110" s="32"/>
    </row>
    <row r="111" spans="3:21" ht="18.75" hidden="1" x14ac:dyDescent="0.3">
      <c r="C111" s="322"/>
      <c r="D111" s="9"/>
      <c r="E111" s="170"/>
      <c r="F111" s="169" t="s">
        <v>75</v>
      </c>
      <c r="G111" s="20" t="s">
        <v>1728</v>
      </c>
      <c r="H111" s="393"/>
      <c r="I111" s="394"/>
      <c r="J111" s="394"/>
      <c r="K111" s="395"/>
      <c r="L111" s="1"/>
      <c r="M111" s="86"/>
      <c r="N111" s="19">
        <v>150</v>
      </c>
      <c r="O111" s="22" t="str">
        <f t="shared" si="4"/>
        <v/>
      </c>
      <c r="P111" s="19" t="s">
        <v>76</v>
      </c>
      <c r="Q111" s="460" t="s">
        <v>72</v>
      </c>
      <c r="R111" s="461"/>
      <c r="S111" s="487"/>
      <c r="T111" s="104"/>
      <c r="U111" s="32"/>
    </row>
    <row r="112" spans="3:21" ht="18.75" hidden="1" x14ac:dyDescent="0.3">
      <c r="C112" s="322"/>
      <c r="D112" s="9"/>
      <c r="E112" s="170"/>
      <c r="F112" s="169" t="s">
        <v>75</v>
      </c>
      <c r="G112" s="20" t="s">
        <v>1728</v>
      </c>
      <c r="H112" s="390"/>
      <c r="I112" s="391"/>
      <c r="J112" s="391"/>
      <c r="K112" s="392"/>
      <c r="L112" s="1"/>
      <c r="M112" s="86"/>
      <c r="N112" s="19">
        <v>150</v>
      </c>
      <c r="O112" s="22" t="str">
        <f t="shared" si="4"/>
        <v/>
      </c>
      <c r="P112" s="19" t="s">
        <v>76</v>
      </c>
      <c r="Q112" s="460" t="s">
        <v>72</v>
      </c>
      <c r="R112" s="461"/>
      <c r="S112" s="487"/>
      <c r="T112" s="104"/>
      <c r="U112" s="32"/>
    </row>
    <row r="113" spans="3:21" ht="18.75" hidden="1" x14ac:dyDescent="0.3">
      <c r="C113" s="322"/>
      <c r="D113" s="9"/>
      <c r="E113" s="170"/>
      <c r="F113" s="169" t="s">
        <v>75</v>
      </c>
      <c r="G113" s="20" t="s">
        <v>1728</v>
      </c>
      <c r="H113" s="390"/>
      <c r="I113" s="391"/>
      <c r="J113" s="391"/>
      <c r="K113" s="392"/>
      <c r="L113" s="1"/>
      <c r="M113" s="86"/>
      <c r="N113" s="19">
        <v>150</v>
      </c>
      <c r="O113" s="22" t="str">
        <f t="shared" si="4"/>
        <v/>
      </c>
      <c r="P113" s="19" t="s">
        <v>76</v>
      </c>
      <c r="Q113" s="460" t="s">
        <v>72</v>
      </c>
      <c r="R113" s="461"/>
      <c r="S113" s="487"/>
      <c r="T113" s="104"/>
      <c r="U113" s="32"/>
    </row>
    <row r="114" spans="3:21" ht="18.75" hidden="1" x14ac:dyDescent="0.3">
      <c r="C114" s="322"/>
      <c r="D114" s="9"/>
      <c r="E114" s="170"/>
      <c r="F114" s="169" t="s">
        <v>75</v>
      </c>
      <c r="G114" s="20" t="s">
        <v>1728</v>
      </c>
      <c r="H114" s="390"/>
      <c r="I114" s="391"/>
      <c r="J114" s="391"/>
      <c r="K114" s="392"/>
      <c r="L114" s="1"/>
      <c r="M114" s="86"/>
      <c r="N114" s="19">
        <v>150</v>
      </c>
      <c r="O114" s="22" t="str">
        <f t="shared" si="4"/>
        <v/>
      </c>
      <c r="P114" s="19" t="s">
        <v>76</v>
      </c>
      <c r="Q114" s="460" t="s">
        <v>72</v>
      </c>
      <c r="R114" s="461"/>
      <c r="S114" s="487"/>
      <c r="T114" s="104"/>
      <c r="U114" s="32"/>
    </row>
    <row r="115" spans="3:21" ht="18.75" hidden="1" x14ac:dyDescent="0.3">
      <c r="C115" s="322"/>
      <c r="D115" s="9"/>
      <c r="E115" s="170"/>
      <c r="F115" s="169" t="s">
        <v>75</v>
      </c>
      <c r="G115" s="20" t="s">
        <v>1728</v>
      </c>
      <c r="H115" s="390"/>
      <c r="I115" s="391"/>
      <c r="J115" s="391"/>
      <c r="K115" s="392"/>
      <c r="L115" s="1"/>
      <c r="M115" s="86"/>
      <c r="N115" s="19">
        <v>150</v>
      </c>
      <c r="O115" s="22" t="str">
        <f t="shared" si="4"/>
        <v/>
      </c>
      <c r="P115" s="19" t="s">
        <v>76</v>
      </c>
      <c r="Q115" s="460" t="s">
        <v>72</v>
      </c>
      <c r="R115" s="461"/>
      <c r="S115" s="487"/>
      <c r="T115" s="104"/>
      <c r="U115" s="32"/>
    </row>
    <row r="116" spans="3:21" ht="18.75" hidden="1" x14ac:dyDescent="0.3">
      <c r="C116" s="322"/>
      <c r="D116" s="9"/>
      <c r="E116" s="170"/>
      <c r="F116" s="169" t="s">
        <v>75</v>
      </c>
      <c r="G116" s="20" t="s">
        <v>1728</v>
      </c>
      <c r="H116" s="390"/>
      <c r="I116" s="391"/>
      <c r="J116" s="391"/>
      <c r="K116" s="392"/>
      <c r="L116" s="1"/>
      <c r="M116" s="86"/>
      <c r="N116" s="19">
        <v>150</v>
      </c>
      <c r="O116" s="22" t="str">
        <f t="shared" si="4"/>
        <v/>
      </c>
      <c r="P116" s="19" t="s">
        <v>76</v>
      </c>
      <c r="Q116" s="460" t="s">
        <v>72</v>
      </c>
      <c r="R116" s="461"/>
      <c r="S116" s="487"/>
      <c r="T116" s="104"/>
      <c r="U116" s="32"/>
    </row>
    <row r="117" spans="3:21" ht="18.75" hidden="1" x14ac:dyDescent="0.3">
      <c r="C117" s="322"/>
      <c r="D117" s="9"/>
      <c r="E117" s="170"/>
      <c r="F117" s="169" t="s">
        <v>75</v>
      </c>
      <c r="G117" s="20" t="s">
        <v>1728</v>
      </c>
      <c r="H117" s="390"/>
      <c r="I117" s="391"/>
      <c r="J117" s="391"/>
      <c r="K117" s="392"/>
      <c r="L117" s="1"/>
      <c r="M117" s="86"/>
      <c r="N117" s="19">
        <v>150</v>
      </c>
      <c r="O117" s="22" t="str">
        <f t="shared" si="4"/>
        <v/>
      </c>
      <c r="P117" s="19" t="s">
        <v>76</v>
      </c>
      <c r="Q117" s="460" t="s">
        <v>72</v>
      </c>
      <c r="R117" s="461"/>
      <c r="S117" s="487"/>
      <c r="T117" s="104"/>
      <c r="U117" s="32"/>
    </row>
    <row r="118" spans="3:21" ht="18.75" hidden="1" x14ac:dyDescent="0.3">
      <c r="C118" s="322"/>
      <c r="D118" s="9"/>
      <c r="E118" s="170"/>
      <c r="F118" s="169" t="s">
        <v>75</v>
      </c>
      <c r="G118" s="20" t="s">
        <v>1728</v>
      </c>
      <c r="H118" s="390"/>
      <c r="I118" s="391"/>
      <c r="J118" s="391"/>
      <c r="K118" s="392"/>
      <c r="L118" s="1"/>
      <c r="M118" s="86"/>
      <c r="N118" s="19">
        <v>150</v>
      </c>
      <c r="O118" s="22" t="str">
        <f t="shared" si="4"/>
        <v/>
      </c>
      <c r="P118" s="19" t="s">
        <v>76</v>
      </c>
      <c r="Q118" s="460" t="s">
        <v>72</v>
      </c>
      <c r="R118" s="461"/>
      <c r="S118" s="487"/>
      <c r="T118" s="104"/>
      <c r="U118" s="32"/>
    </row>
    <row r="119" spans="3:21" ht="18.75" hidden="1" x14ac:dyDescent="0.3">
      <c r="C119" s="322"/>
      <c r="D119" s="9"/>
      <c r="E119" s="170"/>
      <c r="F119" s="169" t="s">
        <v>75</v>
      </c>
      <c r="G119" s="20" t="s">
        <v>1728</v>
      </c>
      <c r="H119" s="390"/>
      <c r="I119" s="391"/>
      <c r="J119" s="391"/>
      <c r="K119" s="392"/>
      <c r="L119" s="1"/>
      <c r="M119" s="86"/>
      <c r="N119" s="19">
        <v>150</v>
      </c>
      <c r="O119" s="22" t="str">
        <f t="shared" si="4"/>
        <v/>
      </c>
      <c r="P119" s="19" t="s">
        <v>76</v>
      </c>
      <c r="Q119" s="460" t="s">
        <v>72</v>
      </c>
      <c r="R119" s="461"/>
      <c r="S119" s="487"/>
      <c r="T119" s="104"/>
      <c r="U119" s="32"/>
    </row>
    <row r="120" spans="3:21" ht="18.75" hidden="1" x14ac:dyDescent="0.3">
      <c r="C120" s="322"/>
      <c r="D120" s="9"/>
      <c r="E120" s="170"/>
      <c r="F120" s="169" t="s">
        <v>75</v>
      </c>
      <c r="G120" s="20" t="s">
        <v>1728</v>
      </c>
      <c r="H120" s="390"/>
      <c r="I120" s="391"/>
      <c r="J120" s="391"/>
      <c r="K120" s="392"/>
      <c r="L120" s="1"/>
      <c r="M120" s="86"/>
      <c r="N120" s="19">
        <v>150</v>
      </c>
      <c r="O120" s="22" t="str">
        <f t="shared" si="4"/>
        <v/>
      </c>
      <c r="P120" s="19" t="s">
        <v>76</v>
      </c>
      <c r="Q120" s="460" t="s">
        <v>72</v>
      </c>
      <c r="R120" s="461"/>
      <c r="S120" s="487"/>
      <c r="T120" s="104"/>
      <c r="U120" s="32"/>
    </row>
    <row r="121" spans="3:21" ht="18.75" hidden="1" x14ac:dyDescent="0.3">
      <c r="C121" s="322"/>
      <c r="D121" s="9"/>
      <c r="E121" s="170"/>
      <c r="F121" s="169" t="s">
        <v>75</v>
      </c>
      <c r="G121" s="20" t="s">
        <v>1728</v>
      </c>
      <c r="H121" s="390"/>
      <c r="I121" s="391"/>
      <c r="J121" s="391"/>
      <c r="K121" s="392"/>
      <c r="L121" s="1"/>
      <c r="M121" s="86"/>
      <c r="N121" s="19">
        <v>150</v>
      </c>
      <c r="O121" s="22" t="str">
        <f t="shared" si="4"/>
        <v/>
      </c>
      <c r="P121" s="19" t="s">
        <v>76</v>
      </c>
      <c r="Q121" s="460" t="s">
        <v>72</v>
      </c>
      <c r="R121" s="461"/>
      <c r="S121" s="487"/>
      <c r="T121" s="104"/>
      <c r="U121" s="32"/>
    </row>
    <row r="122" spans="3:21" ht="18.75" hidden="1" x14ac:dyDescent="0.3">
      <c r="C122" s="322"/>
      <c r="D122" s="9"/>
      <c r="E122" s="170"/>
      <c r="F122" s="169" t="s">
        <v>75</v>
      </c>
      <c r="G122" s="20" t="s">
        <v>1728</v>
      </c>
      <c r="H122" s="390"/>
      <c r="I122" s="391"/>
      <c r="J122" s="391"/>
      <c r="K122" s="392"/>
      <c r="L122" s="1"/>
      <c r="M122" s="86"/>
      <c r="N122" s="19">
        <v>150</v>
      </c>
      <c r="O122" s="22" t="str">
        <f t="shared" si="4"/>
        <v/>
      </c>
      <c r="P122" s="19" t="s">
        <v>76</v>
      </c>
      <c r="Q122" s="460" t="s">
        <v>72</v>
      </c>
      <c r="R122" s="461"/>
      <c r="S122" s="462"/>
      <c r="T122" s="104"/>
      <c r="U122" s="32"/>
    </row>
    <row r="123" spans="3:21" ht="18.75" hidden="1" x14ac:dyDescent="0.3">
      <c r="C123" s="322"/>
      <c r="D123" s="9"/>
      <c r="E123" s="170"/>
      <c r="F123" s="169" t="s">
        <v>75</v>
      </c>
      <c r="G123" s="20" t="s">
        <v>1728</v>
      </c>
      <c r="H123" s="390"/>
      <c r="I123" s="391"/>
      <c r="J123" s="391"/>
      <c r="K123" s="392"/>
      <c r="L123" s="1"/>
      <c r="M123" s="86"/>
      <c r="N123" s="19">
        <v>150</v>
      </c>
      <c r="O123" s="22" t="str">
        <f t="shared" si="4"/>
        <v/>
      </c>
      <c r="P123" s="19" t="s">
        <v>76</v>
      </c>
      <c r="Q123" s="460" t="s">
        <v>72</v>
      </c>
      <c r="R123" s="461"/>
      <c r="S123" s="462"/>
      <c r="T123" s="104"/>
      <c r="U123" s="32"/>
    </row>
    <row r="124" spans="3:21" ht="18.75" hidden="1" x14ac:dyDescent="0.3">
      <c r="C124" s="322"/>
      <c r="D124" s="9"/>
      <c r="E124" s="170"/>
      <c r="F124" s="169" t="s">
        <v>75</v>
      </c>
      <c r="G124" s="20" t="s">
        <v>1728</v>
      </c>
      <c r="H124" s="390"/>
      <c r="I124" s="391"/>
      <c r="J124" s="391"/>
      <c r="K124" s="392"/>
      <c r="L124" s="1"/>
      <c r="M124" s="86"/>
      <c r="N124" s="19">
        <v>150</v>
      </c>
      <c r="O124" s="22" t="str">
        <f t="shared" si="4"/>
        <v/>
      </c>
      <c r="P124" s="19" t="s">
        <v>76</v>
      </c>
      <c r="Q124" s="460" t="s">
        <v>72</v>
      </c>
      <c r="R124" s="461"/>
      <c r="S124" s="462"/>
      <c r="T124" s="104"/>
      <c r="U124" s="32"/>
    </row>
    <row r="125" spans="3:21" ht="18.75" hidden="1" x14ac:dyDescent="0.3">
      <c r="C125" s="322"/>
      <c r="D125" s="9"/>
      <c r="E125" s="170"/>
      <c r="F125" s="169" t="s">
        <v>75</v>
      </c>
      <c r="G125" s="20" t="s">
        <v>1728</v>
      </c>
      <c r="H125" s="390"/>
      <c r="I125" s="391"/>
      <c r="J125" s="391"/>
      <c r="K125" s="392"/>
      <c r="L125" s="1"/>
      <c r="M125" s="86"/>
      <c r="N125" s="19">
        <v>150</v>
      </c>
      <c r="O125" s="22" t="str">
        <f t="shared" si="4"/>
        <v/>
      </c>
      <c r="P125" s="19" t="s">
        <v>76</v>
      </c>
      <c r="Q125" s="460" t="s">
        <v>72</v>
      </c>
      <c r="R125" s="461"/>
      <c r="S125" s="462"/>
      <c r="T125" s="104"/>
      <c r="U125" s="32"/>
    </row>
    <row r="126" spans="3:21" ht="18.75" hidden="1" x14ac:dyDescent="0.3">
      <c r="C126" s="322"/>
      <c r="D126" s="9"/>
      <c r="E126" s="170"/>
      <c r="F126" s="169" t="s">
        <v>75</v>
      </c>
      <c r="G126" s="20" t="s">
        <v>1728</v>
      </c>
      <c r="H126" s="390"/>
      <c r="I126" s="391"/>
      <c r="J126" s="391"/>
      <c r="K126" s="392"/>
      <c r="L126" s="1"/>
      <c r="M126" s="86"/>
      <c r="N126" s="19">
        <v>150</v>
      </c>
      <c r="O126" s="22" t="str">
        <f t="shared" si="4"/>
        <v/>
      </c>
      <c r="P126" s="19" t="s">
        <v>76</v>
      </c>
      <c r="Q126" s="460" t="s">
        <v>72</v>
      </c>
      <c r="R126" s="461"/>
      <c r="S126" s="462"/>
      <c r="T126" s="104"/>
      <c r="U126" s="32"/>
    </row>
    <row r="127" spans="3:21" ht="18.75" hidden="1" x14ac:dyDescent="0.3">
      <c r="C127" s="322"/>
      <c r="D127" s="9"/>
      <c r="E127" s="170"/>
      <c r="F127" s="169" t="s">
        <v>75</v>
      </c>
      <c r="G127" s="20" t="s">
        <v>1728</v>
      </c>
      <c r="H127" s="390"/>
      <c r="I127" s="391"/>
      <c r="J127" s="391"/>
      <c r="K127" s="392"/>
      <c r="L127" s="1"/>
      <c r="M127" s="86"/>
      <c r="N127" s="19">
        <v>150</v>
      </c>
      <c r="O127" s="22" t="str">
        <f t="shared" si="4"/>
        <v/>
      </c>
      <c r="P127" s="19" t="s">
        <v>76</v>
      </c>
      <c r="Q127" s="460" t="s">
        <v>72</v>
      </c>
      <c r="R127" s="461"/>
      <c r="S127" s="462"/>
      <c r="T127" s="104"/>
      <c r="U127" s="32"/>
    </row>
    <row r="128" spans="3:21" ht="18.75" hidden="1" x14ac:dyDescent="0.3">
      <c r="C128" s="322"/>
      <c r="D128" s="9"/>
      <c r="E128" s="170"/>
      <c r="F128" s="169" t="s">
        <v>75</v>
      </c>
      <c r="G128" s="20" t="s">
        <v>1728</v>
      </c>
      <c r="H128" s="390"/>
      <c r="I128" s="391"/>
      <c r="J128" s="391"/>
      <c r="K128" s="392"/>
      <c r="L128" s="1"/>
      <c r="M128" s="86"/>
      <c r="N128" s="19">
        <v>150</v>
      </c>
      <c r="O128" s="22" t="str">
        <f t="shared" si="4"/>
        <v/>
      </c>
      <c r="P128" s="19" t="s">
        <v>76</v>
      </c>
      <c r="Q128" s="460" t="s">
        <v>72</v>
      </c>
      <c r="R128" s="461"/>
      <c r="S128" s="462"/>
      <c r="T128" s="104"/>
      <c r="U128" s="32"/>
    </row>
    <row r="129" spans="3:25" ht="18.75" hidden="1" x14ac:dyDescent="0.3">
      <c r="C129" s="322"/>
      <c r="D129" s="9"/>
      <c r="E129" s="170"/>
      <c r="F129" s="169" t="s">
        <v>75</v>
      </c>
      <c r="G129" s="20" t="s">
        <v>1728</v>
      </c>
      <c r="H129" s="390"/>
      <c r="I129" s="391"/>
      <c r="J129" s="391"/>
      <c r="K129" s="392"/>
      <c r="L129" s="1"/>
      <c r="M129" s="86"/>
      <c r="N129" s="19">
        <v>75</v>
      </c>
      <c r="O129" s="22" t="str">
        <f t="shared" si="4"/>
        <v/>
      </c>
      <c r="P129" s="19" t="s">
        <v>76</v>
      </c>
      <c r="Q129" s="463" t="s">
        <v>72</v>
      </c>
      <c r="R129" s="464"/>
      <c r="S129" s="465"/>
      <c r="T129" s="104"/>
      <c r="U129" s="32"/>
    </row>
    <row r="130" spans="3:25" ht="27" thickBot="1" x14ac:dyDescent="0.45">
      <c r="C130" s="322"/>
      <c r="D130" s="9"/>
      <c r="E130" s="170"/>
      <c r="F130" s="225"/>
      <c r="G130" s="226"/>
      <c r="H130" s="227"/>
      <c r="I130" s="227"/>
      <c r="J130" s="227"/>
      <c r="K130" s="228" t="s">
        <v>2746</v>
      </c>
      <c r="L130" s="85">
        <f>SUBTOTAL(9,L103:L129)/6</f>
        <v>0</v>
      </c>
      <c r="M130" s="85">
        <f>SUBTOTAL(9,M103:M129)/6</f>
        <v>0</v>
      </c>
      <c r="N130" s="224"/>
      <c r="O130" s="183">
        <f>SUBTOTAL(9,O103:O129)</f>
        <v>0</v>
      </c>
      <c r="P130" s="224"/>
      <c r="Q130" s="400"/>
      <c r="R130" s="400"/>
      <c r="S130" s="401"/>
      <c r="T130" s="107"/>
      <c r="U130" s="32"/>
    </row>
    <row r="131" spans="3:25" ht="10.5" customHeight="1" thickTop="1" x14ac:dyDescent="0.4">
      <c r="C131" s="322"/>
      <c r="D131" s="9"/>
      <c r="E131" s="170"/>
      <c r="F131" s="229"/>
      <c r="G131" s="230"/>
      <c r="H131" s="231"/>
      <c r="I131" s="232"/>
      <c r="J131" s="232"/>
      <c r="K131" s="232"/>
      <c r="L131" s="217"/>
      <c r="M131" s="235"/>
      <c r="N131" s="210"/>
      <c r="O131" s="235"/>
      <c r="P131" s="235"/>
      <c r="Q131" s="236"/>
      <c r="R131" s="236"/>
      <c r="S131" s="237"/>
      <c r="T131" s="107"/>
      <c r="U131" s="32"/>
    </row>
    <row r="132" spans="3:25" ht="36.75" customHeight="1" x14ac:dyDescent="0.4">
      <c r="C132" s="322"/>
      <c r="D132" s="9"/>
      <c r="E132" s="170"/>
      <c r="F132" s="229"/>
      <c r="G132" s="230"/>
      <c r="H132" s="233"/>
      <c r="I132" s="233"/>
      <c r="J132" s="234"/>
      <c r="K132" s="232"/>
      <c r="L132" s="217"/>
      <c r="M132" s="235"/>
      <c r="N132" s="210"/>
      <c r="O132" s="235"/>
      <c r="P132" s="235"/>
      <c r="Q132" s="236"/>
      <c r="R132" s="236"/>
      <c r="S132" s="237"/>
      <c r="T132" s="107"/>
      <c r="U132" s="32"/>
    </row>
    <row r="133" spans="3:25" ht="34.5" x14ac:dyDescent="0.55000000000000004">
      <c r="C133" s="322"/>
      <c r="D133" s="9"/>
      <c r="E133" s="170"/>
      <c r="F133" s="229"/>
      <c r="G133" s="230"/>
      <c r="H133" s="415" t="s">
        <v>2752</v>
      </c>
      <c r="I133" s="415"/>
      <c r="J133" s="415"/>
      <c r="K133" s="415"/>
      <c r="L133" s="415"/>
      <c r="M133" s="415"/>
      <c r="N133" s="210"/>
      <c r="O133" s="210"/>
      <c r="P133" s="210"/>
      <c r="Q133" s="466"/>
      <c r="R133" s="466"/>
      <c r="S133" s="467"/>
      <c r="T133" s="107"/>
      <c r="U133" s="24"/>
    </row>
    <row r="134" spans="3:25" ht="47.25" customHeight="1" x14ac:dyDescent="0.25">
      <c r="C134" s="322"/>
      <c r="D134" s="9"/>
      <c r="E134" s="170"/>
      <c r="F134" s="229"/>
      <c r="G134" s="230"/>
      <c r="H134" s="416" t="s">
        <v>2768</v>
      </c>
      <c r="I134" s="416"/>
      <c r="J134" s="416"/>
      <c r="K134" s="416"/>
      <c r="L134" s="230"/>
      <c r="M134" s="230"/>
      <c r="N134" s="210"/>
      <c r="O134" s="210"/>
      <c r="P134" s="210"/>
      <c r="Q134" s="236"/>
      <c r="R134" s="236"/>
      <c r="S134" s="237"/>
      <c r="T134" s="107"/>
      <c r="U134" s="24"/>
      <c r="V134" s="331"/>
      <c r="W134" s="331"/>
    </row>
    <row r="135" spans="3:25" ht="49.5" customHeight="1" x14ac:dyDescent="0.25">
      <c r="C135" s="322"/>
      <c r="D135" s="9"/>
      <c r="E135" s="170"/>
      <c r="F135" s="229"/>
      <c r="G135" s="230"/>
      <c r="H135" s="507" t="s">
        <v>2769</v>
      </c>
      <c r="I135" s="507"/>
      <c r="J135" s="507"/>
      <c r="K135" s="507"/>
      <c r="L135" s="363" t="s">
        <v>28</v>
      </c>
      <c r="M135" s="364" t="s">
        <v>61</v>
      </c>
      <c r="N135" s="204" t="s">
        <v>30</v>
      </c>
      <c r="O135" s="205" t="s">
        <v>31</v>
      </c>
      <c r="P135" s="204" t="s">
        <v>32</v>
      </c>
      <c r="Q135" s="508" t="s">
        <v>33</v>
      </c>
      <c r="R135" s="508"/>
      <c r="S135" s="509"/>
      <c r="T135" s="103"/>
      <c r="U135" s="24"/>
      <c r="V135" s="331" t="s">
        <v>2756</v>
      </c>
      <c r="W135" s="331" t="s">
        <v>2757</v>
      </c>
    </row>
    <row r="136" spans="3:25" ht="18.75" hidden="1" x14ac:dyDescent="0.3">
      <c r="C136" s="322"/>
      <c r="D136" s="9"/>
      <c r="E136" s="9"/>
      <c r="F136" s="21" t="s">
        <v>77</v>
      </c>
      <c r="G136" s="20" t="s">
        <v>2748</v>
      </c>
      <c r="H136" s="377" t="s">
        <v>78</v>
      </c>
      <c r="I136" s="377"/>
      <c r="J136" s="377" t="s">
        <v>79</v>
      </c>
      <c r="K136" s="377"/>
      <c r="L136" s="1"/>
      <c r="M136" s="5"/>
      <c r="N136" s="19">
        <v>2.65</v>
      </c>
      <c r="O136" s="22" t="str">
        <f>IF(AND(L136="",M136=""),"",(L136*N136)+(M136*(N136+2.1)))</f>
        <v/>
      </c>
      <c r="P136" s="19" t="s">
        <v>80</v>
      </c>
      <c r="Q136" s="439" t="s">
        <v>81</v>
      </c>
      <c r="R136" s="439"/>
      <c r="S136" s="439"/>
      <c r="T136" s="92"/>
      <c r="U136" s="32"/>
      <c r="V136" s="332">
        <v>0</v>
      </c>
      <c r="W136" s="372" t="str">
        <f>IF(OR(G136="Collectors",G136="Special Pricing",G136="Boutique",G136="leafjoy littles™"),
    IF(V136&gt;0,"Show","Hide"),
    IF(V136 &gt;= _xlfn.XLOOKUP(F136,'[1]Min table'!C$3:C$5,'[1]Min table'!D$3:D$5),"Show","Hide")
)</f>
        <v>Hide</v>
      </c>
      <c r="X136" s="317" t="s">
        <v>1897</v>
      </c>
      <c r="Y136" s="317" t="s">
        <v>78</v>
      </c>
    </row>
    <row r="137" spans="3:25" ht="18.75" hidden="1" x14ac:dyDescent="0.3">
      <c r="C137" s="322"/>
      <c r="D137" s="9"/>
      <c r="E137" s="9"/>
      <c r="F137" s="21" t="s">
        <v>77</v>
      </c>
      <c r="G137" s="20" t="s">
        <v>2748</v>
      </c>
      <c r="H137" s="377" t="s">
        <v>82</v>
      </c>
      <c r="I137" s="377"/>
      <c r="J137" s="377" t="s">
        <v>83</v>
      </c>
      <c r="K137" s="377"/>
      <c r="L137" s="1"/>
      <c r="M137" s="5"/>
      <c r="N137" s="19">
        <v>2.65</v>
      </c>
      <c r="O137" s="22" t="str">
        <f>IF(AND(L137="",M137=""),"",(L137*N137)+(M137*(N137+2.1)))</f>
        <v/>
      </c>
      <c r="P137" s="19" t="s">
        <v>84</v>
      </c>
      <c r="Q137" s="439" t="s">
        <v>81</v>
      </c>
      <c r="R137" s="439"/>
      <c r="S137" s="439"/>
      <c r="T137" s="104"/>
      <c r="U137" s="32"/>
      <c r="V137" s="332">
        <v>0</v>
      </c>
      <c r="W137" s="372" t="str">
        <f>IF(OR(G137="Collectors",G137="Special Pricing",G137="Boutique",G137="leafjoy littles™"),
    IF(V137&gt;0,"Show","Hide"),
    IF(V137 &gt;= _xlfn.XLOOKUP(F137,'[1]Min table'!C$3:C$5,'[1]Min table'!D$3:D$5),"Show","Hide")
)</f>
        <v>Hide</v>
      </c>
      <c r="X137" s="317" t="s">
        <v>1898</v>
      </c>
      <c r="Y137" s="317" t="s">
        <v>82</v>
      </c>
    </row>
    <row r="138" spans="3:25" ht="18.75" hidden="1" x14ac:dyDescent="0.3">
      <c r="C138" s="322"/>
      <c r="D138" s="119"/>
      <c r="E138" s="119"/>
      <c r="F138" s="21" t="s">
        <v>77</v>
      </c>
      <c r="G138" s="20" t="s">
        <v>2748</v>
      </c>
      <c r="H138" s="376" t="s">
        <v>85</v>
      </c>
      <c r="I138" s="376"/>
      <c r="J138" s="376" t="s">
        <v>86</v>
      </c>
      <c r="K138" s="376"/>
      <c r="L138" s="1"/>
      <c r="M138" s="5"/>
      <c r="N138" s="19">
        <v>2.65</v>
      </c>
      <c r="O138" s="22" t="str">
        <f>IF(AND(L138="",M138=""),"",(L138*N138)+(M138*(N138+2.1)))</f>
        <v/>
      </c>
      <c r="P138" s="19" t="s">
        <v>80</v>
      </c>
      <c r="Q138" s="439" t="s">
        <v>81</v>
      </c>
      <c r="R138" s="439"/>
      <c r="S138" s="439"/>
      <c r="T138" s="92"/>
      <c r="U138" s="32"/>
      <c r="V138" s="332">
        <v>-20</v>
      </c>
      <c r="W138" s="372" t="str">
        <f>IF(OR(G138="Collectors",G138="Special Pricing",G138="Boutique",G138="leafjoy littles™"),
    IF(V138&gt;0,"Show","Hide"),
    IF(V138 &gt;= _xlfn.XLOOKUP(F138,'[1]Min table'!C$3:C$5,'[1]Min table'!D$3:D$5),"Show","Hide")
)</f>
        <v>Hide</v>
      </c>
      <c r="X138" s="317" t="s">
        <v>1899</v>
      </c>
      <c r="Y138" s="317" t="s">
        <v>85</v>
      </c>
    </row>
    <row r="139" spans="3:25" ht="18.75" hidden="1" x14ac:dyDescent="0.3">
      <c r="C139" s="322"/>
      <c r="D139" s="9"/>
      <c r="E139" s="9"/>
      <c r="F139" s="21" t="s">
        <v>77</v>
      </c>
      <c r="G139" s="20" t="s">
        <v>2748</v>
      </c>
      <c r="H139" s="377" t="s">
        <v>87</v>
      </c>
      <c r="I139" s="377"/>
      <c r="J139" s="377" t="s">
        <v>88</v>
      </c>
      <c r="K139" s="377"/>
      <c r="L139" s="1"/>
      <c r="M139" s="5"/>
      <c r="N139" s="19">
        <v>2.65</v>
      </c>
      <c r="O139" s="22" t="str">
        <f t="shared" ref="O139:O196" si="5">IF(AND(L139="",M139=""),"",(L139*N139)+(M139*(N139+2.1)))</f>
        <v/>
      </c>
      <c r="P139" s="19" t="s">
        <v>80</v>
      </c>
      <c r="Q139" s="439" t="s">
        <v>81</v>
      </c>
      <c r="R139" s="439"/>
      <c r="S139" s="439"/>
      <c r="T139" s="92"/>
      <c r="U139" s="32"/>
      <c r="V139" s="332">
        <v>0</v>
      </c>
      <c r="W139" s="372" t="str">
        <f>IF(OR(G139="Collectors",G139="Special Pricing",G139="Boutique",G139="leafjoy littles™"),
    IF(V139&gt;0,"Show","Hide"),
    IF(V139 &gt;= _xlfn.XLOOKUP(F139,'[1]Min table'!C$3:C$5,'[1]Min table'!D$3:D$5),"Show","Hide")
)</f>
        <v>Hide</v>
      </c>
      <c r="X139" s="317" t="s">
        <v>1900</v>
      </c>
      <c r="Y139" s="317" t="s">
        <v>87</v>
      </c>
    </row>
    <row r="140" spans="3:25" ht="18.75" hidden="1" x14ac:dyDescent="0.3">
      <c r="C140" s="322"/>
      <c r="D140" s="9"/>
      <c r="E140" s="9"/>
      <c r="F140" s="21" t="s">
        <v>77</v>
      </c>
      <c r="G140" s="20" t="s">
        <v>2748</v>
      </c>
      <c r="H140" s="377" t="s">
        <v>89</v>
      </c>
      <c r="I140" s="377"/>
      <c r="J140" s="377" t="s">
        <v>90</v>
      </c>
      <c r="K140" s="377"/>
      <c r="L140" s="1"/>
      <c r="M140" s="5"/>
      <c r="N140" s="19">
        <v>2.65</v>
      </c>
      <c r="O140" s="22" t="str">
        <f t="shared" si="5"/>
        <v/>
      </c>
      <c r="P140" s="19" t="s">
        <v>91</v>
      </c>
      <c r="Q140" s="439" t="s">
        <v>81</v>
      </c>
      <c r="R140" s="439"/>
      <c r="S140" s="439"/>
      <c r="T140" s="92"/>
      <c r="U140" s="32"/>
      <c r="V140" s="332">
        <v>0</v>
      </c>
      <c r="W140" s="372" t="str">
        <f>IF(OR(G140="Collectors",G140="Special Pricing",G140="Boutique",G140="leafjoy littles™"),
    IF(V140&gt;0,"Show","Hide"),
    IF(V140 &gt;= _xlfn.XLOOKUP(F140,'[1]Min table'!C$3:C$5,'[1]Min table'!D$3:D$5),"Show","Hide")
)</f>
        <v>Hide</v>
      </c>
      <c r="X140" s="317" t="s">
        <v>1901</v>
      </c>
      <c r="Y140" s="317" t="s">
        <v>89</v>
      </c>
    </row>
    <row r="141" spans="3:25" ht="18.75" hidden="1" x14ac:dyDescent="0.3">
      <c r="C141" s="322"/>
      <c r="D141" s="9"/>
      <c r="E141" s="9"/>
      <c r="F141" s="21" t="s">
        <v>77</v>
      </c>
      <c r="G141" s="20" t="s">
        <v>2748</v>
      </c>
      <c r="H141" s="377" t="s">
        <v>92</v>
      </c>
      <c r="I141" s="377"/>
      <c r="J141" s="377" t="s">
        <v>93</v>
      </c>
      <c r="K141" s="377"/>
      <c r="L141" s="1"/>
      <c r="M141" s="5"/>
      <c r="N141" s="19">
        <v>2.65</v>
      </c>
      <c r="O141" s="22" t="str">
        <f t="shared" si="5"/>
        <v/>
      </c>
      <c r="P141" s="19" t="s">
        <v>94</v>
      </c>
      <c r="Q141" s="439" t="s">
        <v>81</v>
      </c>
      <c r="R141" s="439"/>
      <c r="S141" s="439"/>
      <c r="T141" s="92"/>
      <c r="U141" s="32"/>
      <c r="V141" s="332">
        <v>0</v>
      </c>
      <c r="W141" s="372" t="str">
        <f>IF(OR(G141="Collectors",G141="Special Pricing",G141="Boutique",G141="leafjoy littles™"),
    IF(V141&gt;0,"Show","Hide"),
    IF(V141 &gt;= _xlfn.XLOOKUP(F141,'[1]Min table'!C$3:C$5,'[1]Min table'!D$3:D$5),"Show","Hide")
)</f>
        <v>Hide</v>
      </c>
      <c r="X141" s="317" t="s">
        <v>1902</v>
      </c>
      <c r="Y141" s="324" t="s">
        <v>92</v>
      </c>
    </row>
    <row r="142" spans="3:25" ht="18.75" hidden="1" x14ac:dyDescent="0.3">
      <c r="C142" s="322"/>
      <c r="D142" s="9"/>
      <c r="E142" s="9"/>
      <c r="F142" s="21" t="s">
        <v>77</v>
      </c>
      <c r="G142" s="20" t="s">
        <v>2748</v>
      </c>
      <c r="H142" s="377" t="s">
        <v>95</v>
      </c>
      <c r="I142" s="377"/>
      <c r="J142" s="377" t="s">
        <v>96</v>
      </c>
      <c r="K142" s="377"/>
      <c r="L142" s="1"/>
      <c r="M142" s="5"/>
      <c r="N142" s="19">
        <v>2.65</v>
      </c>
      <c r="O142" s="22" t="str">
        <f t="shared" si="5"/>
        <v/>
      </c>
      <c r="P142" s="19" t="s">
        <v>97</v>
      </c>
      <c r="Q142" s="439" t="s">
        <v>81</v>
      </c>
      <c r="R142" s="439"/>
      <c r="S142" s="439"/>
      <c r="T142" s="92"/>
      <c r="U142" s="32"/>
      <c r="V142" s="332">
        <v>0</v>
      </c>
      <c r="W142" s="372" t="str">
        <f>IF(OR(G142="Collectors",G142="Special Pricing",G142="Boutique",G142="leafjoy littles™"),
    IF(V142&gt;0,"Show","Hide"),
    IF(V142 &gt;= _xlfn.XLOOKUP(F142,'[1]Min table'!C$3:C$5,'[1]Min table'!D$3:D$5),"Show","Hide")
)</f>
        <v>Hide</v>
      </c>
      <c r="X142" s="317" t="s">
        <v>1903</v>
      </c>
      <c r="Y142" s="324" t="s">
        <v>95</v>
      </c>
    </row>
    <row r="143" spans="3:25" ht="18.75" x14ac:dyDescent="0.3">
      <c r="C143" s="322"/>
      <c r="D143" s="9"/>
      <c r="E143" s="9"/>
      <c r="F143" s="21" t="s">
        <v>77</v>
      </c>
      <c r="G143" s="20" t="s">
        <v>2748</v>
      </c>
      <c r="H143" s="399" t="s">
        <v>98</v>
      </c>
      <c r="I143" s="399"/>
      <c r="J143" s="399" t="s">
        <v>99</v>
      </c>
      <c r="K143" s="399"/>
      <c r="L143" s="1"/>
      <c r="M143" s="5"/>
      <c r="N143" s="19">
        <v>2.65</v>
      </c>
      <c r="O143" s="22" t="str">
        <f t="shared" si="5"/>
        <v/>
      </c>
      <c r="P143" s="19" t="s">
        <v>100</v>
      </c>
      <c r="Q143" s="439" t="s">
        <v>81</v>
      </c>
      <c r="R143" s="439"/>
      <c r="S143" s="439"/>
      <c r="T143" s="104"/>
      <c r="U143" s="32"/>
      <c r="V143" s="332">
        <v>95</v>
      </c>
      <c r="W143" s="372" t="str">
        <f>IF(OR(G143="Collectors",G143="Special Pricing",G143="Boutique",G143="leafjoy littles™"),
    IF(V143&gt;0,"Show","Hide"),
    IF(V143 &gt;= _xlfn.XLOOKUP(F143,'[1]Min table'!C$3:C$5,'[1]Min table'!D$3:D$5),"Show","Hide")
)</f>
        <v>Show</v>
      </c>
      <c r="X143" s="317" t="s">
        <v>1904</v>
      </c>
      <c r="Y143" s="317" t="s">
        <v>98</v>
      </c>
    </row>
    <row r="144" spans="3:25" s="333" customFormat="1" ht="18.75" hidden="1" x14ac:dyDescent="0.3">
      <c r="C144" s="349"/>
      <c r="D144" s="9"/>
      <c r="E144" s="9"/>
      <c r="F144" s="21" t="s">
        <v>77</v>
      </c>
      <c r="G144" s="20" t="s">
        <v>2748</v>
      </c>
      <c r="H144" s="399" t="s">
        <v>101</v>
      </c>
      <c r="I144" s="399"/>
      <c r="J144" s="399" t="s">
        <v>102</v>
      </c>
      <c r="K144" s="399"/>
      <c r="L144" s="1"/>
      <c r="M144" s="5"/>
      <c r="N144" s="19">
        <v>2.65</v>
      </c>
      <c r="O144" s="22" t="str">
        <f t="shared" si="5"/>
        <v/>
      </c>
      <c r="P144" s="19" t="s">
        <v>103</v>
      </c>
      <c r="Q144" s="439" t="s">
        <v>81</v>
      </c>
      <c r="R144" s="439"/>
      <c r="S144" s="439"/>
      <c r="T144" s="92"/>
      <c r="U144" s="32"/>
      <c r="V144" s="332">
        <v>12</v>
      </c>
      <c r="W144" s="372" t="str">
        <f>IF(OR(G144="Collectors",G144="Special Pricing",G144="Boutique",G144="leafjoy littles™"),
    IF(V144&gt;0,"Show","Hide"),
    IF(V144 &gt;= _xlfn.XLOOKUP(F144,'[1]Min table'!C$3:C$5,'[1]Min table'!D$3:D$5),"Show","Hide")
)</f>
        <v>Show</v>
      </c>
      <c r="X144" s="317" t="s">
        <v>1905</v>
      </c>
      <c r="Y144" s="317" t="s">
        <v>101</v>
      </c>
    </row>
    <row r="145" spans="3:25" ht="18.75" hidden="1" x14ac:dyDescent="0.3">
      <c r="C145" s="322"/>
      <c r="D145" s="9"/>
      <c r="E145" s="9"/>
      <c r="F145" s="21" t="s">
        <v>77</v>
      </c>
      <c r="G145" s="20" t="s">
        <v>2748</v>
      </c>
      <c r="H145" s="377" t="s">
        <v>1871</v>
      </c>
      <c r="I145" s="377"/>
      <c r="J145" s="377"/>
      <c r="K145" s="377"/>
      <c r="L145" s="1"/>
      <c r="M145" s="5"/>
      <c r="N145" s="19">
        <v>2.65</v>
      </c>
      <c r="O145" s="22" t="str">
        <f t="shared" si="5"/>
        <v/>
      </c>
      <c r="P145" s="19" t="s">
        <v>1862</v>
      </c>
      <c r="Q145" s="439" t="s">
        <v>81</v>
      </c>
      <c r="R145" s="439"/>
      <c r="S145" s="439"/>
      <c r="T145" s="92"/>
      <c r="U145" s="32"/>
      <c r="V145" s="332">
        <v>0</v>
      </c>
      <c r="W145" s="372" t="str">
        <f>IF(OR(G145="Collectors",G145="Special Pricing",G145="Boutique",G145="leafjoy littles™"),
    IF(V145&gt;0,"Show","Hide"),
    IF(V145 &gt;= _xlfn.XLOOKUP(F145,'[1]Min table'!C$3:C$5,'[1]Min table'!D$3:D$5),"Show","Hide")
)</f>
        <v>Hide</v>
      </c>
      <c r="X145" s="317" t="s">
        <v>1906</v>
      </c>
      <c r="Y145" s="317" t="s">
        <v>1871</v>
      </c>
    </row>
    <row r="146" spans="3:25" ht="18.75" hidden="1" x14ac:dyDescent="0.3">
      <c r="C146" s="322"/>
      <c r="D146" s="9"/>
      <c r="E146" s="9"/>
      <c r="F146" s="21" t="s">
        <v>77</v>
      </c>
      <c r="G146" s="20" t="s">
        <v>2748</v>
      </c>
      <c r="H146" s="376" t="s">
        <v>1737</v>
      </c>
      <c r="I146" s="376"/>
      <c r="J146" s="376"/>
      <c r="K146" s="376"/>
      <c r="L146" s="1"/>
      <c r="M146" s="5"/>
      <c r="N146" s="19">
        <v>2.65</v>
      </c>
      <c r="O146" s="22" t="str">
        <f t="shared" si="5"/>
        <v/>
      </c>
      <c r="P146" s="19" t="s">
        <v>393</v>
      </c>
      <c r="Q146" s="439" t="s">
        <v>81</v>
      </c>
      <c r="R146" s="439"/>
      <c r="S146" s="439"/>
      <c r="T146" s="92"/>
      <c r="U146" s="32"/>
      <c r="V146" s="332">
        <v>1</v>
      </c>
      <c r="W146" s="372" t="str">
        <f>IF(OR(G146="Collectors",G146="Special Pricing",G146="Boutique",G146="leafjoy littles™"),
    IF(V146&gt;0,"Show","Hide"),
    IF(V146 &gt;= _xlfn.XLOOKUP(F146,'[1]Min table'!C$3:C$5,'[1]Min table'!D$3:D$5),"Show","Hide")
)</f>
        <v>Show</v>
      </c>
      <c r="X146" s="317" t="s">
        <v>1907</v>
      </c>
      <c r="Y146" s="317" t="s">
        <v>1737</v>
      </c>
    </row>
    <row r="147" spans="3:25" ht="18.75" hidden="1" x14ac:dyDescent="0.3">
      <c r="C147" s="322"/>
      <c r="D147" s="9"/>
      <c r="E147" s="9"/>
      <c r="F147" s="21" t="s">
        <v>77</v>
      </c>
      <c r="G147" s="20" t="s">
        <v>2748</v>
      </c>
      <c r="H147" s="377" t="s">
        <v>1738</v>
      </c>
      <c r="I147" s="377"/>
      <c r="J147" s="377"/>
      <c r="K147" s="377"/>
      <c r="L147" s="1"/>
      <c r="M147" s="5"/>
      <c r="N147" s="19">
        <v>2.65</v>
      </c>
      <c r="O147" s="22" t="str">
        <f t="shared" si="5"/>
        <v/>
      </c>
      <c r="P147" s="19" t="s">
        <v>393</v>
      </c>
      <c r="Q147" s="439" t="s">
        <v>81</v>
      </c>
      <c r="R147" s="439"/>
      <c r="S147" s="439"/>
      <c r="T147" s="92"/>
      <c r="U147" s="32"/>
      <c r="V147" s="332">
        <v>0</v>
      </c>
      <c r="W147" s="372" t="str">
        <f>IF(OR(G147="Collectors",G147="Special Pricing",G147="Boutique",G147="leafjoy littles™"),
    IF(V147&gt;0,"Show","Hide"),
    IF(V147 &gt;= _xlfn.XLOOKUP(F147,'[1]Min table'!C$3:C$5,'[1]Min table'!D$3:D$5),"Show","Hide")
)</f>
        <v>Hide</v>
      </c>
      <c r="X147" s="317" t="s">
        <v>1908</v>
      </c>
      <c r="Y147" s="317" t="s">
        <v>1738</v>
      </c>
    </row>
    <row r="148" spans="3:25" s="324" customFormat="1" ht="18.75" hidden="1" x14ac:dyDescent="0.3">
      <c r="C148" s="350"/>
      <c r="D148" s="33"/>
      <c r="E148" s="33"/>
      <c r="F148" s="21" t="s">
        <v>77</v>
      </c>
      <c r="G148" s="20" t="s">
        <v>2748</v>
      </c>
      <c r="H148" s="376" t="s">
        <v>104</v>
      </c>
      <c r="I148" s="376"/>
      <c r="J148" s="376" t="s">
        <v>105</v>
      </c>
      <c r="K148" s="376"/>
      <c r="L148" s="1"/>
      <c r="M148" s="5"/>
      <c r="N148" s="19">
        <v>2.65</v>
      </c>
      <c r="O148" s="22" t="str">
        <f t="shared" si="5"/>
        <v/>
      </c>
      <c r="P148" s="19" t="s">
        <v>106</v>
      </c>
      <c r="Q148" s="439" t="s">
        <v>81</v>
      </c>
      <c r="R148" s="439"/>
      <c r="S148" s="439"/>
      <c r="T148" s="104"/>
      <c r="U148" s="32"/>
      <c r="V148" s="332">
        <v>-2</v>
      </c>
      <c r="W148" s="372" t="str">
        <f>IF(OR(G148="Collectors",G148="Special Pricing",G148="Boutique",G148="leafjoy littles™"),
    IF(V148&gt;0,"Show","Hide"),
    IF(V148 &gt;= _xlfn.XLOOKUP(F148,'[1]Min table'!C$3:C$5,'[1]Min table'!D$3:D$5),"Show","Hide")
)</f>
        <v>Hide</v>
      </c>
      <c r="X148" s="324" t="s">
        <v>1909</v>
      </c>
      <c r="Y148" s="317" t="s">
        <v>104</v>
      </c>
    </row>
    <row r="149" spans="3:25" s="324" customFormat="1" ht="18.75" hidden="1" x14ac:dyDescent="0.3">
      <c r="C149" s="350"/>
      <c r="D149" s="33"/>
      <c r="E149" s="33"/>
      <c r="F149" s="21" t="s">
        <v>77</v>
      </c>
      <c r="G149" s="20" t="s">
        <v>2748</v>
      </c>
      <c r="H149" s="377" t="s">
        <v>107</v>
      </c>
      <c r="I149" s="377"/>
      <c r="J149" s="377" t="s">
        <v>108</v>
      </c>
      <c r="K149" s="377"/>
      <c r="L149" s="1"/>
      <c r="M149" s="5"/>
      <c r="N149" s="19">
        <v>2.65</v>
      </c>
      <c r="O149" s="22" t="str">
        <f t="shared" si="5"/>
        <v/>
      </c>
      <c r="P149" s="19" t="s">
        <v>109</v>
      </c>
      <c r="Q149" s="439" t="s">
        <v>81</v>
      </c>
      <c r="R149" s="439"/>
      <c r="S149" s="439"/>
      <c r="T149" s="92"/>
      <c r="U149" s="32"/>
      <c r="V149" s="332">
        <v>0</v>
      </c>
      <c r="W149" s="372" t="str">
        <f>IF(OR(G149="Collectors",G149="Special Pricing",G149="Boutique",G149="leafjoy littles™"),
    IF(V149&gt;0,"Show","Hide"),
    IF(V149 &gt;= _xlfn.XLOOKUP(F149,'[1]Min table'!C$3:C$5,'[1]Min table'!D$3:D$5),"Show","Hide")
)</f>
        <v>Hide</v>
      </c>
      <c r="X149" s="324" t="s">
        <v>1910</v>
      </c>
      <c r="Y149" s="317" t="s">
        <v>107</v>
      </c>
    </row>
    <row r="150" spans="3:25" s="324" customFormat="1" ht="18.75" hidden="1" x14ac:dyDescent="0.3">
      <c r="C150" s="350"/>
      <c r="D150" s="33"/>
      <c r="E150" s="33"/>
      <c r="F150" s="21" t="s">
        <v>77</v>
      </c>
      <c r="G150" s="20" t="s">
        <v>2748</v>
      </c>
      <c r="H150" s="377" t="s">
        <v>110</v>
      </c>
      <c r="I150" s="377"/>
      <c r="J150" s="377" t="s">
        <v>111</v>
      </c>
      <c r="K150" s="377"/>
      <c r="L150" s="1"/>
      <c r="M150" s="5"/>
      <c r="N150" s="19">
        <v>2.65</v>
      </c>
      <c r="O150" s="22" t="str">
        <f t="shared" si="5"/>
        <v/>
      </c>
      <c r="P150" s="19" t="s">
        <v>106</v>
      </c>
      <c r="Q150" s="439" t="s">
        <v>81</v>
      </c>
      <c r="R150" s="439"/>
      <c r="S150" s="439"/>
      <c r="T150" s="104"/>
      <c r="U150" s="32"/>
      <c r="V150" s="332">
        <v>0</v>
      </c>
      <c r="W150" s="372" t="str">
        <f>IF(OR(G150="Collectors",G150="Special Pricing",G150="Boutique",G150="leafjoy littles™"),
    IF(V150&gt;0,"Show","Hide"),
    IF(V150 &gt;= _xlfn.XLOOKUP(F150,'[1]Min table'!C$3:C$5,'[1]Min table'!D$3:D$5),"Show","Hide")
)</f>
        <v>Hide</v>
      </c>
      <c r="X150" s="324" t="s">
        <v>1911</v>
      </c>
      <c r="Y150" s="317" t="s">
        <v>110</v>
      </c>
    </row>
    <row r="151" spans="3:25" s="324" customFormat="1" ht="18.75" hidden="1" x14ac:dyDescent="0.3">
      <c r="C151" s="350"/>
      <c r="D151" s="33"/>
      <c r="E151" s="33"/>
      <c r="F151" s="21" t="s">
        <v>77</v>
      </c>
      <c r="G151" s="20" t="s">
        <v>2748</v>
      </c>
      <c r="H151" s="376" t="s">
        <v>112</v>
      </c>
      <c r="I151" s="376"/>
      <c r="J151" s="376" t="s">
        <v>113</v>
      </c>
      <c r="K151" s="376"/>
      <c r="L151" s="1"/>
      <c r="M151" s="5"/>
      <c r="N151" s="19">
        <v>2.65</v>
      </c>
      <c r="O151" s="22" t="str">
        <f t="shared" si="5"/>
        <v/>
      </c>
      <c r="P151" s="19" t="s">
        <v>106</v>
      </c>
      <c r="Q151" s="439" t="s">
        <v>81</v>
      </c>
      <c r="R151" s="439"/>
      <c r="S151" s="439"/>
      <c r="T151" s="104"/>
      <c r="U151" s="32"/>
      <c r="V151" s="332">
        <v>-12</v>
      </c>
      <c r="W151" s="372" t="str">
        <f>IF(OR(G151="Collectors",G151="Special Pricing",G151="Boutique",G151="leafjoy littles™"),
    IF(V151&gt;0,"Show","Hide"),
    IF(V151 &gt;= _xlfn.XLOOKUP(F151,'[1]Min table'!C$3:C$5,'[1]Min table'!D$3:D$5),"Show","Hide")
)</f>
        <v>Hide</v>
      </c>
      <c r="X151" s="324" t="s">
        <v>1912</v>
      </c>
      <c r="Y151" s="317" t="s">
        <v>112</v>
      </c>
    </row>
    <row r="152" spans="3:25" ht="18.75" hidden="1" x14ac:dyDescent="0.3">
      <c r="C152" s="322"/>
      <c r="D152" s="9"/>
      <c r="E152" s="9"/>
      <c r="F152" s="21" t="s">
        <v>77</v>
      </c>
      <c r="G152" s="20" t="s">
        <v>2748</v>
      </c>
      <c r="H152" s="376" t="s">
        <v>114</v>
      </c>
      <c r="I152" s="376"/>
      <c r="J152" s="376" t="s">
        <v>115</v>
      </c>
      <c r="K152" s="376"/>
      <c r="L152" s="1"/>
      <c r="M152" s="5"/>
      <c r="N152" s="19">
        <v>2.65</v>
      </c>
      <c r="O152" s="22" t="str">
        <f t="shared" si="5"/>
        <v/>
      </c>
      <c r="P152" s="19" t="s">
        <v>106</v>
      </c>
      <c r="Q152" s="439" t="s">
        <v>81</v>
      </c>
      <c r="R152" s="439"/>
      <c r="S152" s="439"/>
      <c r="T152" s="92"/>
      <c r="U152" s="32"/>
      <c r="V152" s="332">
        <v>-29</v>
      </c>
      <c r="W152" s="372" t="str">
        <f>IF(OR(G152="Collectors",G152="Special Pricing",G152="Boutique",G152="leafjoy littles™"),
    IF(V152&gt;0,"Show","Hide"),
    IF(V152 &gt;= _xlfn.XLOOKUP(F152,'[1]Min table'!C$3:C$5,'[1]Min table'!D$3:D$5),"Show","Hide")
)</f>
        <v>Hide</v>
      </c>
      <c r="X152" s="317" t="s">
        <v>1913</v>
      </c>
      <c r="Y152" s="317" t="s">
        <v>114</v>
      </c>
    </row>
    <row r="153" spans="3:25" ht="18.75" hidden="1" x14ac:dyDescent="0.3">
      <c r="C153" s="322"/>
      <c r="D153" s="9"/>
      <c r="E153" s="9"/>
      <c r="F153" s="21" t="s">
        <v>77</v>
      </c>
      <c r="G153" s="20" t="s">
        <v>2748</v>
      </c>
      <c r="H153" s="377" t="s">
        <v>116</v>
      </c>
      <c r="I153" s="377"/>
      <c r="J153" s="377" t="s">
        <v>117</v>
      </c>
      <c r="K153" s="377"/>
      <c r="L153" s="1"/>
      <c r="M153" s="5"/>
      <c r="N153" s="19">
        <v>2.65</v>
      </c>
      <c r="O153" s="22" t="str">
        <f t="shared" si="5"/>
        <v/>
      </c>
      <c r="P153" s="19" t="s">
        <v>80</v>
      </c>
      <c r="Q153" s="439" t="s">
        <v>81</v>
      </c>
      <c r="R153" s="439"/>
      <c r="S153" s="439"/>
      <c r="T153" s="92"/>
      <c r="U153" s="32"/>
      <c r="V153" s="332">
        <v>0</v>
      </c>
      <c r="W153" s="372" t="str">
        <f>IF(OR(G153="Collectors",G153="Special Pricing",G153="Boutique",G153="leafjoy littles™"),
    IF(V153&gt;0,"Show","Hide"),
    IF(V153 &gt;= _xlfn.XLOOKUP(F153,'[1]Min table'!C$3:C$5,'[1]Min table'!D$3:D$5),"Show","Hide")
)</f>
        <v>Hide</v>
      </c>
      <c r="X153" s="317" t="s">
        <v>1914</v>
      </c>
      <c r="Y153" s="317" t="s">
        <v>116</v>
      </c>
    </row>
    <row r="154" spans="3:25" ht="18.75" hidden="1" x14ac:dyDescent="0.3">
      <c r="C154" s="322"/>
      <c r="D154" s="9"/>
      <c r="E154" s="9"/>
      <c r="F154" s="21" t="s">
        <v>77</v>
      </c>
      <c r="G154" s="20" t="s">
        <v>2748</v>
      </c>
      <c r="H154" s="377" t="s">
        <v>118</v>
      </c>
      <c r="I154" s="377"/>
      <c r="J154" s="377" t="s">
        <v>119</v>
      </c>
      <c r="K154" s="377"/>
      <c r="L154" s="1"/>
      <c r="M154" s="5"/>
      <c r="N154" s="19">
        <v>2.65</v>
      </c>
      <c r="O154" s="22" t="str">
        <f t="shared" si="5"/>
        <v/>
      </c>
      <c r="P154" s="19" t="s">
        <v>120</v>
      </c>
      <c r="Q154" s="439" t="s">
        <v>81</v>
      </c>
      <c r="R154" s="439"/>
      <c r="S154" s="439"/>
      <c r="T154" s="92"/>
      <c r="U154" s="32"/>
      <c r="V154" s="332">
        <v>0</v>
      </c>
      <c r="W154" s="372" t="str">
        <f>IF(OR(G154="Collectors",G154="Special Pricing",G154="Boutique",G154="leafjoy littles™"),
    IF(V154&gt;0,"Show","Hide"),
    IF(V154 &gt;= _xlfn.XLOOKUP(F154,'[1]Min table'!C$3:C$5,'[1]Min table'!D$3:D$5),"Show","Hide")
)</f>
        <v>Hide</v>
      </c>
      <c r="X154" s="317" t="s">
        <v>1915</v>
      </c>
      <c r="Y154" s="317" t="s">
        <v>118</v>
      </c>
    </row>
    <row r="155" spans="3:25" ht="18.75" hidden="1" x14ac:dyDescent="0.3">
      <c r="C155" s="322"/>
      <c r="D155" s="9"/>
      <c r="E155" s="9"/>
      <c r="F155" s="21" t="s">
        <v>77</v>
      </c>
      <c r="G155" s="20" t="s">
        <v>2748</v>
      </c>
      <c r="H155" s="377" t="s">
        <v>121</v>
      </c>
      <c r="I155" s="377"/>
      <c r="J155" s="377" t="s">
        <v>122</v>
      </c>
      <c r="K155" s="377"/>
      <c r="L155" s="1"/>
      <c r="M155" s="5"/>
      <c r="N155" s="19">
        <v>2.65</v>
      </c>
      <c r="O155" s="22" t="str">
        <f t="shared" si="5"/>
        <v/>
      </c>
      <c r="P155" s="19" t="s">
        <v>120</v>
      </c>
      <c r="Q155" s="439" t="s">
        <v>81</v>
      </c>
      <c r="R155" s="439"/>
      <c r="S155" s="439"/>
      <c r="T155" s="92"/>
      <c r="U155" s="32"/>
      <c r="V155" s="332">
        <v>2</v>
      </c>
      <c r="W155" s="372" t="str">
        <f>IF(OR(G155="Collectors",G155="Special Pricing",G155="Boutique",G155="leafjoy littles™"),
    IF(V155&gt;0,"Show","Hide"),
    IF(V155 &gt;= _xlfn.XLOOKUP(F155,'[1]Min table'!C$3:C$5,'[1]Min table'!D$3:D$5),"Show","Hide")
)</f>
        <v>Show</v>
      </c>
      <c r="X155" s="317" t="s">
        <v>1916</v>
      </c>
      <c r="Y155" s="317" t="s">
        <v>121</v>
      </c>
    </row>
    <row r="156" spans="3:25" ht="18.75" hidden="1" x14ac:dyDescent="0.3">
      <c r="C156" s="322"/>
      <c r="D156" s="9"/>
      <c r="E156" s="9"/>
      <c r="F156" s="21" t="s">
        <v>77</v>
      </c>
      <c r="G156" s="20" t="s">
        <v>2748</v>
      </c>
      <c r="H156" s="377" t="s">
        <v>123</v>
      </c>
      <c r="I156" s="377"/>
      <c r="J156" s="377" t="s">
        <v>124</v>
      </c>
      <c r="K156" s="377"/>
      <c r="L156" s="1"/>
      <c r="M156" s="5"/>
      <c r="N156" s="19">
        <v>2.65</v>
      </c>
      <c r="O156" s="22" t="str">
        <f t="shared" si="5"/>
        <v/>
      </c>
      <c r="P156" s="19" t="s">
        <v>120</v>
      </c>
      <c r="Q156" s="439" t="s">
        <v>81</v>
      </c>
      <c r="R156" s="439"/>
      <c r="S156" s="439"/>
      <c r="T156" s="92"/>
      <c r="U156" s="32"/>
      <c r="V156" s="332">
        <v>11</v>
      </c>
      <c r="W156" s="372" t="str">
        <f>IF(OR(G156="Collectors",G156="Special Pricing",G156="Boutique",G156="leafjoy littles™"),
    IF(V156&gt;0,"Show","Hide"),
    IF(V156 &gt;= _xlfn.XLOOKUP(F156,'[1]Min table'!C$3:C$5,'[1]Min table'!D$3:D$5),"Show","Hide")
)</f>
        <v>Show</v>
      </c>
      <c r="X156" s="317" t="s">
        <v>1917</v>
      </c>
      <c r="Y156" s="317" t="s">
        <v>123</v>
      </c>
    </row>
    <row r="157" spans="3:25" ht="18.75" hidden="1" x14ac:dyDescent="0.3">
      <c r="C157" s="322"/>
      <c r="D157" s="9"/>
      <c r="E157" s="9"/>
      <c r="F157" s="21" t="s">
        <v>77</v>
      </c>
      <c r="G157" s="20" t="s">
        <v>2748</v>
      </c>
      <c r="H157" s="377" t="s">
        <v>125</v>
      </c>
      <c r="I157" s="377"/>
      <c r="J157" s="377" t="s">
        <v>126</v>
      </c>
      <c r="K157" s="377"/>
      <c r="L157" s="1"/>
      <c r="M157" s="5"/>
      <c r="N157" s="19">
        <v>2.65</v>
      </c>
      <c r="O157" s="22" t="str">
        <f t="shared" si="5"/>
        <v/>
      </c>
      <c r="P157" s="19" t="s">
        <v>127</v>
      </c>
      <c r="Q157" s="439" t="s">
        <v>81</v>
      </c>
      <c r="R157" s="439"/>
      <c r="S157" s="439"/>
      <c r="T157" s="92"/>
      <c r="U157" s="32"/>
      <c r="V157" s="332">
        <v>0</v>
      </c>
      <c r="W157" s="372" t="str">
        <f>IF(OR(G157="Collectors",G157="Special Pricing",G157="Boutique",G157="leafjoy littles™"),
    IF(V157&gt;0,"Show","Hide"),
    IF(V157 &gt;= _xlfn.XLOOKUP(F157,'[1]Min table'!C$3:C$5,'[1]Min table'!D$3:D$5),"Show","Hide")
)</f>
        <v>Hide</v>
      </c>
      <c r="X157" s="317" t="s">
        <v>1918</v>
      </c>
      <c r="Y157" s="317" t="s">
        <v>125</v>
      </c>
    </row>
    <row r="158" spans="3:25" ht="18.75" hidden="1" x14ac:dyDescent="0.3">
      <c r="C158" s="322"/>
      <c r="D158" s="9"/>
      <c r="E158" s="9"/>
      <c r="F158" s="21" t="s">
        <v>77</v>
      </c>
      <c r="G158" s="20" t="s">
        <v>2748</v>
      </c>
      <c r="H158" s="377" t="s">
        <v>128</v>
      </c>
      <c r="I158" s="377"/>
      <c r="J158" s="377" t="s">
        <v>129</v>
      </c>
      <c r="K158" s="377"/>
      <c r="L158" s="1"/>
      <c r="M158" s="5"/>
      <c r="N158" s="19">
        <v>2.65</v>
      </c>
      <c r="O158" s="22" t="str">
        <f t="shared" si="5"/>
        <v/>
      </c>
      <c r="P158" s="19" t="s">
        <v>120</v>
      </c>
      <c r="Q158" s="439" t="s">
        <v>81</v>
      </c>
      <c r="R158" s="439"/>
      <c r="S158" s="439"/>
      <c r="T158" s="92"/>
      <c r="U158" s="32"/>
      <c r="V158" s="332">
        <v>2</v>
      </c>
      <c r="W158" s="372" t="str">
        <f>IF(OR(G158="Collectors",G158="Special Pricing",G158="Boutique",G158="leafjoy littles™"),
    IF(V158&gt;0,"Show","Hide"),
    IF(V158 &gt;= _xlfn.XLOOKUP(F158,'[1]Min table'!C$3:C$5,'[1]Min table'!D$3:D$5),"Show","Hide")
)</f>
        <v>Show</v>
      </c>
      <c r="X158" s="317" t="s">
        <v>1919</v>
      </c>
      <c r="Y158" s="317" t="s">
        <v>128</v>
      </c>
    </row>
    <row r="159" spans="3:25" ht="18.75" hidden="1" x14ac:dyDescent="0.3">
      <c r="C159" s="322"/>
      <c r="D159" s="9"/>
      <c r="E159" s="9"/>
      <c r="F159" s="21" t="s">
        <v>77</v>
      </c>
      <c r="G159" s="20" t="s">
        <v>2748</v>
      </c>
      <c r="H159" s="377" t="s">
        <v>130</v>
      </c>
      <c r="I159" s="377"/>
      <c r="J159" s="377" t="s">
        <v>131</v>
      </c>
      <c r="K159" s="377"/>
      <c r="L159" s="1"/>
      <c r="M159" s="5"/>
      <c r="N159" s="19">
        <v>2.65</v>
      </c>
      <c r="O159" s="22" t="str">
        <f t="shared" si="5"/>
        <v/>
      </c>
      <c r="P159" s="19" t="s">
        <v>132</v>
      </c>
      <c r="Q159" s="439" t="s">
        <v>81</v>
      </c>
      <c r="R159" s="439"/>
      <c r="S159" s="439"/>
      <c r="T159" s="104"/>
      <c r="U159" s="32"/>
      <c r="V159" s="332">
        <v>-71</v>
      </c>
      <c r="W159" s="372" t="str">
        <f>IF(OR(G159="Collectors",G159="Special Pricing",G159="Boutique",G159="leafjoy littles™"),
    IF(V159&gt;0,"Show","Hide"),
    IF(V159 &gt;= _xlfn.XLOOKUP(F159,'[1]Min table'!C$3:C$5,'[1]Min table'!D$3:D$5),"Show","Hide")
)</f>
        <v>Hide</v>
      </c>
      <c r="X159" s="317" t="s">
        <v>1920</v>
      </c>
      <c r="Y159" s="317" t="s">
        <v>130</v>
      </c>
    </row>
    <row r="160" spans="3:25" ht="18.75" hidden="1" x14ac:dyDescent="0.3">
      <c r="C160" s="322"/>
      <c r="D160" s="9"/>
      <c r="E160" s="9"/>
      <c r="F160" s="21" t="s">
        <v>77</v>
      </c>
      <c r="G160" s="20" t="s">
        <v>2748</v>
      </c>
      <c r="H160" s="377" t="s">
        <v>133</v>
      </c>
      <c r="I160" s="377"/>
      <c r="J160" s="377" t="s">
        <v>134</v>
      </c>
      <c r="K160" s="377"/>
      <c r="L160" s="1"/>
      <c r="M160" s="5"/>
      <c r="N160" s="19">
        <v>2.65</v>
      </c>
      <c r="O160" s="22" t="str">
        <f t="shared" si="5"/>
        <v/>
      </c>
      <c r="P160" s="19" t="s">
        <v>132</v>
      </c>
      <c r="Q160" s="439" t="s">
        <v>81</v>
      </c>
      <c r="R160" s="439"/>
      <c r="S160" s="439"/>
      <c r="T160" s="92"/>
      <c r="U160" s="32"/>
      <c r="V160" s="332">
        <v>0</v>
      </c>
      <c r="W160" s="372" t="str">
        <f>IF(OR(G160="Collectors",G160="Special Pricing",G160="Boutique",G160="leafjoy littles™"),
    IF(V160&gt;0,"Show","Hide"),
    IF(V160 &gt;= _xlfn.XLOOKUP(F160,'[1]Min table'!C$3:C$5,'[1]Min table'!D$3:D$5),"Show","Hide")
)</f>
        <v>Hide</v>
      </c>
      <c r="X160" s="317" t="s">
        <v>1921</v>
      </c>
      <c r="Y160" s="317" t="s">
        <v>133</v>
      </c>
    </row>
    <row r="161" spans="3:25" ht="18.75" hidden="1" x14ac:dyDescent="0.3">
      <c r="C161" s="322"/>
      <c r="D161" s="9"/>
      <c r="E161" s="9"/>
      <c r="F161" s="21" t="s">
        <v>77</v>
      </c>
      <c r="G161" s="20" t="s">
        <v>2748</v>
      </c>
      <c r="H161" s="377" t="s">
        <v>135</v>
      </c>
      <c r="I161" s="377"/>
      <c r="J161" s="377" t="s">
        <v>136</v>
      </c>
      <c r="K161" s="377"/>
      <c r="L161" s="1"/>
      <c r="M161" s="5"/>
      <c r="N161" s="19">
        <v>2.65</v>
      </c>
      <c r="O161" s="22" t="str">
        <f t="shared" si="5"/>
        <v/>
      </c>
      <c r="P161" s="19" t="s">
        <v>132</v>
      </c>
      <c r="Q161" s="439" t="s">
        <v>81</v>
      </c>
      <c r="R161" s="439"/>
      <c r="S161" s="439"/>
      <c r="T161" s="92"/>
      <c r="U161" s="32"/>
      <c r="V161" s="332">
        <v>0</v>
      </c>
      <c r="W161" s="372" t="str">
        <f>IF(OR(G161="Collectors",G161="Special Pricing",G161="Boutique",G161="leafjoy littles™"),
    IF(V161&gt;0,"Show","Hide"),
    IF(V161 &gt;= _xlfn.XLOOKUP(F161,'[1]Min table'!C$3:C$5,'[1]Min table'!D$3:D$5),"Show","Hide")
)</f>
        <v>Hide</v>
      </c>
      <c r="X161" s="317" t="s">
        <v>1922</v>
      </c>
      <c r="Y161" s="317" t="s">
        <v>135</v>
      </c>
    </row>
    <row r="162" spans="3:25" ht="18.75" hidden="1" x14ac:dyDescent="0.3">
      <c r="C162" s="322"/>
      <c r="D162" s="9"/>
      <c r="E162" s="9"/>
      <c r="F162" s="21" t="s">
        <v>77</v>
      </c>
      <c r="G162" s="20" t="s">
        <v>2748</v>
      </c>
      <c r="H162" s="377" t="s">
        <v>137</v>
      </c>
      <c r="I162" s="377"/>
      <c r="J162" s="377" t="s">
        <v>138</v>
      </c>
      <c r="K162" s="377"/>
      <c r="L162" s="1"/>
      <c r="M162" s="5"/>
      <c r="N162" s="19">
        <v>2.65</v>
      </c>
      <c r="O162" s="22" t="str">
        <f t="shared" si="5"/>
        <v/>
      </c>
      <c r="P162" s="21" t="s">
        <v>132</v>
      </c>
      <c r="Q162" s="439" t="s">
        <v>81</v>
      </c>
      <c r="R162" s="439"/>
      <c r="S162" s="439"/>
      <c r="T162" s="92"/>
      <c r="U162" s="32"/>
      <c r="V162" s="332">
        <v>0</v>
      </c>
      <c r="W162" s="372" t="str">
        <f>IF(OR(G162="Collectors",G162="Special Pricing",G162="Boutique",G162="leafjoy littles™"),
    IF(V162&gt;0,"Show","Hide"),
    IF(V162 &gt;= _xlfn.XLOOKUP(F162,'[1]Min table'!C$3:C$5,'[1]Min table'!D$3:D$5),"Show","Hide")
)</f>
        <v>Hide</v>
      </c>
      <c r="X162" s="317" t="s">
        <v>1923</v>
      </c>
      <c r="Y162" s="317" t="s">
        <v>137</v>
      </c>
    </row>
    <row r="163" spans="3:25" ht="18.75" hidden="1" x14ac:dyDescent="0.3">
      <c r="C163" s="322"/>
      <c r="D163" s="9"/>
      <c r="E163" s="9"/>
      <c r="F163" s="21" t="s">
        <v>77</v>
      </c>
      <c r="G163" s="20" t="s">
        <v>2748</v>
      </c>
      <c r="H163" s="399" t="s">
        <v>139</v>
      </c>
      <c r="I163" s="399"/>
      <c r="J163" s="399" t="s">
        <v>140</v>
      </c>
      <c r="K163" s="399"/>
      <c r="L163" s="1"/>
      <c r="M163" s="5"/>
      <c r="N163" s="19">
        <v>2.65</v>
      </c>
      <c r="O163" s="22" t="str">
        <f t="shared" si="5"/>
        <v/>
      </c>
      <c r="P163" s="21" t="s">
        <v>132</v>
      </c>
      <c r="Q163" s="439" t="s">
        <v>81</v>
      </c>
      <c r="R163" s="439"/>
      <c r="S163" s="439"/>
      <c r="T163" s="104"/>
      <c r="U163" s="32"/>
      <c r="V163" s="332">
        <v>25</v>
      </c>
      <c r="W163" s="372" t="str">
        <f>IF(OR(G163="Collectors",G163="Special Pricing",G163="Boutique",G163="leafjoy littles™"),
    IF(V163&gt;0,"Show","Hide"),
    IF(V163 &gt;= _xlfn.XLOOKUP(F163,'[1]Min table'!C$3:C$5,'[1]Min table'!D$3:D$5),"Show","Hide")
)</f>
        <v>Show</v>
      </c>
      <c r="X163" s="317" t="s">
        <v>1924</v>
      </c>
      <c r="Y163" s="317" t="s">
        <v>139</v>
      </c>
    </row>
    <row r="164" spans="3:25" ht="18.75" x14ac:dyDescent="0.3">
      <c r="C164" s="322"/>
      <c r="D164" s="9"/>
      <c r="E164" s="9"/>
      <c r="F164" s="21" t="s">
        <v>77</v>
      </c>
      <c r="G164" s="20" t="s">
        <v>2748</v>
      </c>
      <c r="H164" s="399" t="s">
        <v>141</v>
      </c>
      <c r="I164" s="399"/>
      <c r="J164" s="399" t="s">
        <v>142</v>
      </c>
      <c r="K164" s="399"/>
      <c r="L164" s="1"/>
      <c r="M164" s="5"/>
      <c r="N164" s="19">
        <v>2.65</v>
      </c>
      <c r="O164" s="22" t="str">
        <f t="shared" si="5"/>
        <v/>
      </c>
      <c r="P164" s="21" t="s">
        <v>132</v>
      </c>
      <c r="Q164" s="439" t="s">
        <v>81</v>
      </c>
      <c r="R164" s="439"/>
      <c r="S164" s="439"/>
      <c r="T164" s="104"/>
      <c r="U164" s="32"/>
      <c r="V164" s="332">
        <v>64</v>
      </c>
      <c r="W164" s="372" t="str">
        <f>IF(OR(G164="Collectors",G164="Special Pricing",G164="Boutique",G164="leafjoy littles™"),
    IF(V164&gt;0,"Show","Hide"),
    IF(V164 &gt;= _xlfn.XLOOKUP(F164,'[1]Min table'!C$3:C$5,'[1]Min table'!D$3:D$5),"Show","Hide")
)</f>
        <v>Show</v>
      </c>
      <c r="X164" s="317" t="s">
        <v>1925</v>
      </c>
      <c r="Y164" s="317" t="s">
        <v>141</v>
      </c>
    </row>
    <row r="165" spans="3:25" ht="18.75" hidden="1" x14ac:dyDescent="0.3">
      <c r="C165" s="322"/>
      <c r="D165" s="9"/>
      <c r="E165" s="9"/>
      <c r="F165" s="21" t="s">
        <v>77</v>
      </c>
      <c r="G165" s="20" t="s">
        <v>2748</v>
      </c>
      <c r="H165" s="377" t="s">
        <v>143</v>
      </c>
      <c r="I165" s="377"/>
      <c r="J165" s="377" t="s">
        <v>144</v>
      </c>
      <c r="K165" s="377"/>
      <c r="L165" s="1"/>
      <c r="M165" s="5"/>
      <c r="N165" s="19">
        <v>2.65</v>
      </c>
      <c r="O165" s="22" t="str">
        <f t="shared" si="5"/>
        <v/>
      </c>
      <c r="P165" s="21" t="s">
        <v>132</v>
      </c>
      <c r="Q165" s="439" t="s">
        <v>81</v>
      </c>
      <c r="R165" s="439"/>
      <c r="S165" s="439"/>
      <c r="T165" s="92"/>
      <c r="U165" s="32"/>
      <c r="V165" s="332">
        <v>0</v>
      </c>
      <c r="W165" s="372" t="str">
        <f>IF(OR(G165="Collectors",G165="Special Pricing",G165="Boutique",G165="leafjoy littles™"),
    IF(V165&gt;0,"Show","Hide"),
    IF(V165 &gt;= _xlfn.XLOOKUP(F165,'[1]Min table'!C$3:C$5,'[1]Min table'!D$3:D$5),"Show","Hide")
)</f>
        <v>Hide</v>
      </c>
      <c r="X165" s="317" t="s">
        <v>1926</v>
      </c>
      <c r="Y165" s="317" t="s">
        <v>143</v>
      </c>
    </row>
    <row r="166" spans="3:25" ht="18.75" hidden="1" x14ac:dyDescent="0.3">
      <c r="C166" s="322"/>
      <c r="D166" s="9"/>
      <c r="E166" s="9"/>
      <c r="F166" s="21" t="s">
        <v>77</v>
      </c>
      <c r="G166" s="20" t="s">
        <v>2748</v>
      </c>
      <c r="H166" s="377" t="s">
        <v>145</v>
      </c>
      <c r="I166" s="377"/>
      <c r="J166" s="377" t="s">
        <v>146</v>
      </c>
      <c r="K166" s="377"/>
      <c r="L166" s="1"/>
      <c r="M166" s="5"/>
      <c r="N166" s="19">
        <v>2.65</v>
      </c>
      <c r="O166" s="22" t="str">
        <f t="shared" si="5"/>
        <v/>
      </c>
      <c r="P166" s="21" t="s">
        <v>132</v>
      </c>
      <c r="Q166" s="439" t="s">
        <v>81</v>
      </c>
      <c r="R166" s="439"/>
      <c r="S166" s="439"/>
      <c r="T166" s="92"/>
      <c r="U166" s="32"/>
      <c r="V166" s="332">
        <v>5</v>
      </c>
      <c r="W166" s="372" t="str">
        <f>IF(OR(G166="Collectors",G166="Special Pricing",G166="Boutique",G166="leafjoy littles™"),
    IF(V166&gt;0,"Show","Hide"),
    IF(V166 &gt;= _xlfn.XLOOKUP(F166,'[1]Min table'!C$3:C$5,'[1]Min table'!D$3:D$5),"Show","Hide")
)</f>
        <v>Show</v>
      </c>
      <c r="X166" s="317" t="s">
        <v>1927</v>
      </c>
      <c r="Y166" s="317" t="s">
        <v>145</v>
      </c>
    </row>
    <row r="167" spans="3:25" ht="18.75" x14ac:dyDescent="0.3">
      <c r="C167" s="322"/>
      <c r="D167" s="9"/>
      <c r="E167" s="9"/>
      <c r="F167" s="21" t="s">
        <v>77</v>
      </c>
      <c r="G167" s="20" t="s">
        <v>2748</v>
      </c>
      <c r="H167" s="399" t="s">
        <v>147</v>
      </c>
      <c r="I167" s="399"/>
      <c r="J167" s="399" t="s">
        <v>148</v>
      </c>
      <c r="K167" s="399"/>
      <c r="L167" s="1"/>
      <c r="M167" s="5"/>
      <c r="N167" s="19">
        <v>2.65</v>
      </c>
      <c r="O167" s="22" t="str">
        <f t="shared" si="5"/>
        <v/>
      </c>
      <c r="P167" s="21" t="s">
        <v>132</v>
      </c>
      <c r="Q167" s="439" t="s">
        <v>81</v>
      </c>
      <c r="R167" s="439"/>
      <c r="S167" s="439"/>
      <c r="T167" s="104"/>
      <c r="U167" s="32"/>
      <c r="V167" s="332">
        <v>70</v>
      </c>
      <c r="W167" s="372" t="str">
        <f>IF(OR(G167="Collectors",G167="Special Pricing",G167="Boutique",G167="leafjoy littles™"),
    IF(V167&gt;0,"Show","Hide"),
    IF(V167 &gt;= _xlfn.XLOOKUP(F167,'[1]Min table'!C$3:C$5,'[1]Min table'!D$3:D$5),"Show","Hide")
)</f>
        <v>Show</v>
      </c>
      <c r="X167" s="317" t="s">
        <v>1928</v>
      </c>
      <c r="Y167" s="317" t="s">
        <v>147</v>
      </c>
    </row>
    <row r="168" spans="3:25" ht="18.75" hidden="1" x14ac:dyDescent="0.3">
      <c r="C168" s="322"/>
      <c r="D168" s="9"/>
      <c r="E168" s="9"/>
      <c r="F168" s="21" t="s">
        <v>77</v>
      </c>
      <c r="G168" s="20" t="s">
        <v>2748</v>
      </c>
      <c r="H168" s="399" t="s">
        <v>149</v>
      </c>
      <c r="I168" s="399"/>
      <c r="J168" s="399" t="s">
        <v>150</v>
      </c>
      <c r="K168" s="399"/>
      <c r="L168" s="1"/>
      <c r="M168" s="5"/>
      <c r="N168" s="19">
        <v>2.65</v>
      </c>
      <c r="O168" s="22" t="str">
        <f t="shared" si="5"/>
        <v/>
      </c>
      <c r="P168" s="21" t="s">
        <v>132</v>
      </c>
      <c r="Q168" s="439" t="s">
        <v>81</v>
      </c>
      <c r="R168" s="439"/>
      <c r="S168" s="439"/>
      <c r="T168" s="104"/>
      <c r="U168" s="32"/>
      <c r="V168" s="332">
        <v>27</v>
      </c>
      <c r="W168" s="372" t="str">
        <f>IF(OR(G168="Collectors",G168="Special Pricing",G168="Boutique",G168="leafjoy littles™"),
    IF(V168&gt;0,"Show","Hide"),
    IF(V168 &gt;= _xlfn.XLOOKUP(F168,'[1]Min table'!C$3:C$5,'[1]Min table'!D$3:D$5),"Show","Hide")
)</f>
        <v>Show</v>
      </c>
      <c r="X168" s="317" t="s">
        <v>1929</v>
      </c>
      <c r="Y168" s="317" t="s">
        <v>149</v>
      </c>
    </row>
    <row r="169" spans="3:25" ht="18.75" hidden="1" x14ac:dyDescent="0.3">
      <c r="C169" s="322"/>
      <c r="D169" s="9"/>
      <c r="E169" s="9"/>
      <c r="F169" s="21" t="s">
        <v>77</v>
      </c>
      <c r="G169" s="20" t="s">
        <v>2748</v>
      </c>
      <c r="H169" s="377" t="s">
        <v>151</v>
      </c>
      <c r="I169" s="377"/>
      <c r="J169" s="377" t="s">
        <v>152</v>
      </c>
      <c r="K169" s="377"/>
      <c r="L169" s="1"/>
      <c r="M169" s="5"/>
      <c r="N169" s="19">
        <v>2.65</v>
      </c>
      <c r="O169" s="22" t="str">
        <f t="shared" si="5"/>
        <v/>
      </c>
      <c r="P169" s="21" t="s">
        <v>132</v>
      </c>
      <c r="Q169" s="439" t="s">
        <v>81</v>
      </c>
      <c r="R169" s="439"/>
      <c r="S169" s="439"/>
      <c r="T169" s="92"/>
      <c r="U169" s="32"/>
      <c r="V169" s="332">
        <v>11</v>
      </c>
      <c r="W169" s="372" t="str">
        <f>IF(OR(G169="Collectors",G169="Special Pricing",G169="Boutique",G169="leafjoy littles™"),
    IF(V169&gt;0,"Show","Hide"),
    IF(V169 &gt;= _xlfn.XLOOKUP(F169,'[1]Min table'!C$3:C$5,'[1]Min table'!D$3:D$5),"Show","Hide")
)</f>
        <v>Show</v>
      </c>
      <c r="X169" s="317" t="s">
        <v>1930</v>
      </c>
      <c r="Y169" s="317" t="s">
        <v>151</v>
      </c>
    </row>
    <row r="170" spans="3:25" ht="18.75" hidden="1" x14ac:dyDescent="0.3">
      <c r="C170" s="322"/>
      <c r="D170" s="9"/>
      <c r="E170" s="9"/>
      <c r="F170" s="21" t="s">
        <v>77</v>
      </c>
      <c r="G170" s="20" t="s">
        <v>2748</v>
      </c>
      <c r="H170" s="399" t="s">
        <v>153</v>
      </c>
      <c r="I170" s="399"/>
      <c r="J170" s="399" t="s">
        <v>154</v>
      </c>
      <c r="K170" s="399"/>
      <c r="L170" s="1"/>
      <c r="M170" s="5"/>
      <c r="N170" s="19">
        <v>2.65</v>
      </c>
      <c r="O170" s="22" t="str">
        <f t="shared" si="5"/>
        <v/>
      </c>
      <c r="P170" s="21" t="s">
        <v>132</v>
      </c>
      <c r="Q170" s="439" t="s">
        <v>81</v>
      </c>
      <c r="R170" s="439"/>
      <c r="S170" s="439"/>
      <c r="T170" s="92"/>
      <c r="U170" s="32"/>
      <c r="V170" s="332">
        <v>14</v>
      </c>
      <c r="W170" s="372" t="str">
        <f>IF(OR(G170="Collectors",G170="Special Pricing",G170="Boutique",G170="leafjoy littles™"),
    IF(V170&gt;0,"Show","Hide"),
    IF(V170 &gt;= _xlfn.XLOOKUP(F170,'[1]Min table'!C$3:C$5,'[1]Min table'!D$3:D$5),"Show","Hide")
)</f>
        <v>Show</v>
      </c>
      <c r="X170" s="317" t="s">
        <v>1931</v>
      </c>
      <c r="Y170" s="317" t="s">
        <v>153</v>
      </c>
    </row>
    <row r="171" spans="3:25" ht="18.75" hidden="1" x14ac:dyDescent="0.3">
      <c r="C171" s="322"/>
      <c r="D171" s="9"/>
      <c r="E171" s="9"/>
      <c r="F171" s="21" t="s">
        <v>77</v>
      </c>
      <c r="G171" s="20" t="s">
        <v>2748</v>
      </c>
      <c r="H171" s="377" t="s">
        <v>155</v>
      </c>
      <c r="I171" s="377"/>
      <c r="J171" s="377" t="s">
        <v>156</v>
      </c>
      <c r="K171" s="377"/>
      <c r="L171" s="1"/>
      <c r="M171" s="5"/>
      <c r="N171" s="19">
        <v>2.65</v>
      </c>
      <c r="O171" s="22" t="str">
        <f t="shared" si="5"/>
        <v/>
      </c>
      <c r="P171" s="21" t="s">
        <v>157</v>
      </c>
      <c r="Q171" s="439" t="s">
        <v>81</v>
      </c>
      <c r="R171" s="439"/>
      <c r="S171" s="439"/>
      <c r="T171" s="104"/>
      <c r="U171" s="32"/>
      <c r="V171" s="332">
        <v>-280</v>
      </c>
      <c r="W171" s="372" t="str">
        <f>IF(OR(G171="Collectors",G171="Special Pricing",G171="Boutique",G171="leafjoy littles™"),
    IF(V171&gt;0,"Show","Hide"),
    IF(V171 &gt;= _xlfn.XLOOKUP(F171,'[1]Min table'!C$3:C$5,'[1]Min table'!D$3:D$5),"Show","Hide")
)</f>
        <v>Hide</v>
      </c>
      <c r="X171" s="317" t="s">
        <v>1956</v>
      </c>
      <c r="Y171" s="317" t="s">
        <v>155</v>
      </c>
    </row>
    <row r="172" spans="3:25" ht="18.75" hidden="1" x14ac:dyDescent="0.3">
      <c r="C172" s="322"/>
      <c r="D172" s="9"/>
      <c r="E172" s="9"/>
      <c r="F172" s="21" t="s">
        <v>77</v>
      </c>
      <c r="G172" s="20" t="s">
        <v>2748</v>
      </c>
      <c r="H172" s="377" t="s">
        <v>158</v>
      </c>
      <c r="I172" s="377"/>
      <c r="J172" s="377" t="s">
        <v>159</v>
      </c>
      <c r="K172" s="377"/>
      <c r="L172" s="1"/>
      <c r="M172" s="5"/>
      <c r="N172" s="19">
        <v>2.65</v>
      </c>
      <c r="O172" s="22" t="str">
        <f t="shared" si="5"/>
        <v/>
      </c>
      <c r="P172" s="21" t="s">
        <v>160</v>
      </c>
      <c r="Q172" s="439" t="s">
        <v>81</v>
      </c>
      <c r="R172" s="439"/>
      <c r="S172" s="439"/>
      <c r="T172" s="92"/>
      <c r="U172" s="32"/>
      <c r="V172" s="332">
        <v>0</v>
      </c>
      <c r="W172" s="372" t="str">
        <f>IF(OR(G172="Collectors",G172="Special Pricing",G172="Boutique",G172="leafjoy littles™"),
    IF(V172&gt;0,"Show","Hide"),
    IF(V172 &gt;= _xlfn.XLOOKUP(F172,'[1]Min table'!C$3:C$5,'[1]Min table'!D$3:D$5),"Show","Hide")
)</f>
        <v>Hide</v>
      </c>
      <c r="X172" s="317" t="s">
        <v>1932</v>
      </c>
      <c r="Y172" s="317" t="s">
        <v>158</v>
      </c>
    </row>
    <row r="173" spans="3:25" ht="18.75" hidden="1" x14ac:dyDescent="0.3">
      <c r="C173" s="322"/>
      <c r="D173" s="9"/>
      <c r="E173" s="9"/>
      <c r="F173" s="21" t="s">
        <v>77</v>
      </c>
      <c r="G173" s="20" t="s">
        <v>2748</v>
      </c>
      <c r="H173" s="377" t="s">
        <v>161</v>
      </c>
      <c r="I173" s="377"/>
      <c r="J173" s="377" t="s">
        <v>162</v>
      </c>
      <c r="K173" s="377"/>
      <c r="L173" s="1"/>
      <c r="M173" s="5"/>
      <c r="N173" s="19">
        <v>2.65</v>
      </c>
      <c r="O173" s="22" t="str">
        <f t="shared" si="5"/>
        <v/>
      </c>
      <c r="P173" s="21" t="s">
        <v>163</v>
      </c>
      <c r="Q173" s="439" t="s">
        <v>81</v>
      </c>
      <c r="R173" s="439"/>
      <c r="S173" s="439"/>
      <c r="T173" s="92"/>
      <c r="U173" s="32"/>
      <c r="V173" s="332">
        <v>0</v>
      </c>
      <c r="W173" s="372" t="str">
        <f>IF(OR(G173="Collectors",G173="Special Pricing",G173="Boutique",G173="leafjoy littles™"),
    IF(V173&gt;0,"Show","Hide"),
    IF(V173 &gt;= _xlfn.XLOOKUP(F173,'[1]Min table'!C$3:C$5,'[1]Min table'!D$3:D$5),"Show","Hide")
)</f>
        <v>Hide</v>
      </c>
      <c r="X173" s="317" t="s">
        <v>1933</v>
      </c>
      <c r="Y173" s="317" t="s">
        <v>161</v>
      </c>
    </row>
    <row r="174" spans="3:25" ht="18.75" hidden="1" x14ac:dyDescent="0.3">
      <c r="C174" s="322"/>
      <c r="D174" s="9"/>
      <c r="E174" s="9"/>
      <c r="F174" s="21" t="s">
        <v>77</v>
      </c>
      <c r="G174" s="20" t="s">
        <v>2748</v>
      </c>
      <c r="H174" s="377" t="s">
        <v>164</v>
      </c>
      <c r="I174" s="377"/>
      <c r="J174" s="377" t="s">
        <v>165</v>
      </c>
      <c r="K174" s="377"/>
      <c r="L174" s="1"/>
      <c r="M174" s="5"/>
      <c r="N174" s="19">
        <v>2.65</v>
      </c>
      <c r="O174" s="22" t="str">
        <f t="shared" si="5"/>
        <v/>
      </c>
      <c r="P174" s="21" t="s">
        <v>109</v>
      </c>
      <c r="Q174" s="439" t="s">
        <v>81</v>
      </c>
      <c r="R174" s="439"/>
      <c r="S174" s="439"/>
      <c r="T174" s="104"/>
      <c r="U174" s="32"/>
      <c r="V174" s="332">
        <v>-42</v>
      </c>
      <c r="W174" s="372" t="str">
        <f>IF(OR(G174="Collectors",G174="Special Pricing",G174="Boutique",G174="leafjoy littles™"),
    IF(V174&gt;0,"Show","Hide"),
    IF(V174 &gt;= _xlfn.XLOOKUP(F174,'[1]Min table'!C$3:C$5,'[1]Min table'!D$3:D$5),"Show","Hide")
)</f>
        <v>Hide</v>
      </c>
      <c r="X174" s="317" t="s">
        <v>1934</v>
      </c>
      <c r="Y174" s="317" t="s">
        <v>164</v>
      </c>
    </row>
    <row r="175" spans="3:25" ht="18.75" x14ac:dyDescent="0.3">
      <c r="C175" s="322"/>
      <c r="D175" s="9"/>
      <c r="E175" s="9"/>
      <c r="F175" s="21" t="s">
        <v>77</v>
      </c>
      <c r="G175" s="20" t="s">
        <v>2748</v>
      </c>
      <c r="H175" s="399" t="s">
        <v>166</v>
      </c>
      <c r="I175" s="399"/>
      <c r="J175" s="399" t="s">
        <v>167</v>
      </c>
      <c r="K175" s="399"/>
      <c r="L175" s="1"/>
      <c r="M175" s="5"/>
      <c r="N175" s="19">
        <v>2.65</v>
      </c>
      <c r="O175" s="22" t="str">
        <f t="shared" si="5"/>
        <v/>
      </c>
      <c r="P175" s="21" t="s">
        <v>168</v>
      </c>
      <c r="Q175" s="439" t="s">
        <v>81</v>
      </c>
      <c r="R175" s="439"/>
      <c r="S175" s="439"/>
      <c r="T175" s="92"/>
      <c r="U175" s="32"/>
      <c r="V175" s="332">
        <v>66</v>
      </c>
      <c r="W175" s="372" t="str">
        <f>IF(OR(G175="Collectors",G175="Special Pricing",G175="Boutique",G175="leafjoy littles™"),
    IF(V175&gt;0,"Show","Hide"),
    IF(V175 &gt;= _xlfn.XLOOKUP(F175,'[1]Min table'!C$3:C$5,'[1]Min table'!D$3:D$5),"Show","Hide")
)</f>
        <v>Show</v>
      </c>
      <c r="X175" s="317" t="s">
        <v>1935</v>
      </c>
      <c r="Y175" s="317" t="s">
        <v>166</v>
      </c>
    </row>
    <row r="176" spans="3:25" ht="18.75" x14ac:dyDescent="0.3">
      <c r="C176" s="322"/>
      <c r="D176" s="9"/>
      <c r="E176" s="9"/>
      <c r="F176" s="21" t="s">
        <v>77</v>
      </c>
      <c r="G176" s="20" t="s">
        <v>2748</v>
      </c>
      <c r="H176" s="399" t="s">
        <v>169</v>
      </c>
      <c r="I176" s="399"/>
      <c r="J176" s="399" t="s">
        <v>170</v>
      </c>
      <c r="K176" s="399"/>
      <c r="L176" s="1"/>
      <c r="M176" s="5"/>
      <c r="N176" s="19">
        <v>2.65</v>
      </c>
      <c r="O176" s="22" t="str">
        <f t="shared" si="5"/>
        <v/>
      </c>
      <c r="P176" s="19" t="s">
        <v>171</v>
      </c>
      <c r="Q176" s="439" t="s">
        <v>81</v>
      </c>
      <c r="R176" s="439"/>
      <c r="S176" s="439"/>
      <c r="T176" s="92"/>
      <c r="U176" s="32"/>
      <c r="V176" s="332">
        <v>65</v>
      </c>
      <c r="W176" s="372" t="str">
        <f>IF(OR(G176="Collectors",G176="Special Pricing",G176="Boutique",G176="leafjoy littles™"),
    IF(V176&gt;0,"Show","Hide"),
    IF(V176 &gt;= _xlfn.XLOOKUP(F176,'[1]Min table'!C$3:C$5,'[1]Min table'!D$3:D$5),"Show","Hide")
)</f>
        <v>Show</v>
      </c>
      <c r="X176" s="317" t="s">
        <v>1936</v>
      </c>
      <c r="Y176" s="317" t="s">
        <v>169</v>
      </c>
    </row>
    <row r="177" spans="3:25" ht="18.75" hidden="1" x14ac:dyDescent="0.3">
      <c r="C177" s="322"/>
      <c r="D177" s="9"/>
      <c r="E177" s="9"/>
      <c r="F177" s="21" t="s">
        <v>77</v>
      </c>
      <c r="G177" s="20" t="s">
        <v>2748</v>
      </c>
      <c r="H177" s="377" t="s">
        <v>172</v>
      </c>
      <c r="I177" s="377"/>
      <c r="J177" s="377" t="s">
        <v>173</v>
      </c>
      <c r="K177" s="377"/>
      <c r="L177" s="1"/>
      <c r="M177" s="5"/>
      <c r="N177" s="19">
        <v>2.65</v>
      </c>
      <c r="O177" s="22" t="str">
        <f t="shared" si="5"/>
        <v/>
      </c>
      <c r="P177" s="19" t="s">
        <v>174</v>
      </c>
      <c r="Q177" s="439" t="s">
        <v>81</v>
      </c>
      <c r="R177" s="439"/>
      <c r="S177" s="439"/>
      <c r="T177" s="92"/>
      <c r="U177" s="32"/>
      <c r="V177" s="332">
        <v>0</v>
      </c>
      <c r="W177" s="372" t="str">
        <f>IF(OR(G177="Collectors",G177="Special Pricing",G177="Boutique",G177="leafjoy littles™"),
    IF(V177&gt;0,"Show","Hide"),
    IF(V177 &gt;= _xlfn.XLOOKUP(F177,'[1]Min table'!C$3:C$5,'[1]Min table'!D$3:D$5),"Show","Hide")
)</f>
        <v>Hide</v>
      </c>
      <c r="X177" s="317" t="s">
        <v>1937</v>
      </c>
      <c r="Y177" s="317" t="s">
        <v>172</v>
      </c>
    </row>
    <row r="178" spans="3:25" ht="18.75" hidden="1" x14ac:dyDescent="0.3">
      <c r="C178" s="322"/>
      <c r="D178" s="9"/>
      <c r="E178" s="9"/>
      <c r="F178" s="21" t="s">
        <v>77</v>
      </c>
      <c r="G178" s="20" t="s">
        <v>2748</v>
      </c>
      <c r="H178" s="377" t="s">
        <v>175</v>
      </c>
      <c r="I178" s="377"/>
      <c r="J178" s="377" t="s">
        <v>176</v>
      </c>
      <c r="K178" s="377"/>
      <c r="L178" s="1"/>
      <c r="M178" s="5"/>
      <c r="N178" s="19">
        <v>2.65</v>
      </c>
      <c r="O178" s="22" t="str">
        <f t="shared" si="5"/>
        <v/>
      </c>
      <c r="P178" s="19" t="s">
        <v>177</v>
      </c>
      <c r="Q178" s="439" t="s">
        <v>81</v>
      </c>
      <c r="R178" s="439"/>
      <c r="S178" s="439"/>
      <c r="T178" s="104"/>
      <c r="U178" s="32"/>
      <c r="V178" s="332">
        <v>-66</v>
      </c>
      <c r="W178" s="372" t="str">
        <f>IF(OR(G178="Collectors",G178="Special Pricing",G178="Boutique",G178="leafjoy littles™"),
    IF(V178&gt;0,"Show","Hide"),
    IF(V178 &gt;= _xlfn.XLOOKUP(F178,'[1]Min table'!C$3:C$5,'[1]Min table'!D$3:D$5),"Show","Hide")
)</f>
        <v>Hide</v>
      </c>
      <c r="X178" s="317" t="s">
        <v>1938</v>
      </c>
      <c r="Y178" s="317" t="s">
        <v>175</v>
      </c>
    </row>
    <row r="179" spans="3:25" ht="18.75" hidden="1" x14ac:dyDescent="0.3">
      <c r="C179" s="322"/>
      <c r="D179" s="9"/>
      <c r="E179" s="9"/>
      <c r="F179" s="21" t="s">
        <v>77</v>
      </c>
      <c r="G179" s="20" t="s">
        <v>2748</v>
      </c>
      <c r="H179" s="377" t="s">
        <v>178</v>
      </c>
      <c r="I179" s="377"/>
      <c r="J179" s="377" t="s">
        <v>179</v>
      </c>
      <c r="K179" s="377"/>
      <c r="L179" s="1"/>
      <c r="M179" s="5"/>
      <c r="N179" s="19">
        <v>2.65</v>
      </c>
      <c r="O179" s="22" t="str">
        <f t="shared" si="5"/>
        <v/>
      </c>
      <c r="P179" s="19" t="s">
        <v>174</v>
      </c>
      <c r="Q179" s="439" t="s">
        <v>81</v>
      </c>
      <c r="R179" s="439"/>
      <c r="S179" s="439"/>
      <c r="T179" s="92"/>
      <c r="U179" s="32"/>
      <c r="V179" s="332">
        <v>0</v>
      </c>
      <c r="W179" s="372" t="str">
        <f>IF(OR(G179="Collectors",G179="Special Pricing",G179="Boutique",G179="leafjoy littles™"),
    IF(V179&gt;0,"Show","Hide"),
    IF(V179 &gt;= _xlfn.XLOOKUP(F179,'[1]Min table'!C$3:C$5,'[1]Min table'!D$3:D$5),"Show","Hide")
)</f>
        <v>Hide</v>
      </c>
      <c r="X179" s="317" t="s">
        <v>1939</v>
      </c>
      <c r="Y179" s="317" t="s">
        <v>178</v>
      </c>
    </row>
    <row r="180" spans="3:25" ht="18.75" hidden="1" x14ac:dyDescent="0.3">
      <c r="C180" s="322"/>
      <c r="D180" s="9"/>
      <c r="E180" s="9"/>
      <c r="F180" s="21" t="s">
        <v>77</v>
      </c>
      <c r="G180" s="20" t="s">
        <v>2748</v>
      </c>
      <c r="H180" s="377" t="s">
        <v>180</v>
      </c>
      <c r="I180" s="377"/>
      <c r="J180" s="377" t="s">
        <v>181</v>
      </c>
      <c r="K180" s="377"/>
      <c r="L180" s="1"/>
      <c r="M180" s="5"/>
      <c r="N180" s="19">
        <v>2.65</v>
      </c>
      <c r="O180" s="22" t="str">
        <f t="shared" si="5"/>
        <v/>
      </c>
      <c r="P180" s="19" t="s">
        <v>182</v>
      </c>
      <c r="Q180" s="439" t="s">
        <v>81</v>
      </c>
      <c r="R180" s="439"/>
      <c r="S180" s="439"/>
      <c r="T180" s="104"/>
      <c r="U180" s="32"/>
      <c r="V180" s="332">
        <v>-294</v>
      </c>
      <c r="W180" s="372" t="str">
        <f>IF(OR(G180="Collectors",G180="Special Pricing",G180="Boutique",G180="leafjoy littles™"),
    IF(V180&gt;0,"Show","Hide"),
    IF(V180 &gt;= _xlfn.XLOOKUP(F180,'[1]Min table'!C$3:C$5,'[1]Min table'!D$3:D$5),"Show","Hide")
)</f>
        <v>Hide</v>
      </c>
      <c r="X180" s="317" t="s">
        <v>1940</v>
      </c>
      <c r="Y180" s="317" t="s">
        <v>180</v>
      </c>
    </row>
    <row r="181" spans="3:25" ht="18.75" hidden="1" x14ac:dyDescent="0.3">
      <c r="C181" s="322"/>
      <c r="D181" s="9"/>
      <c r="E181" s="9"/>
      <c r="F181" s="21" t="s">
        <v>77</v>
      </c>
      <c r="G181" s="20" t="s">
        <v>2748</v>
      </c>
      <c r="H181" s="399" t="s">
        <v>183</v>
      </c>
      <c r="I181" s="399"/>
      <c r="J181" s="399" t="s">
        <v>184</v>
      </c>
      <c r="K181" s="399"/>
      <c r="L181" s="1"/>
      <c r="M181" s="5"/>
      <c r="N181" s="19">
        <v>2.65</v>
      </c>
      <c r="O181" s="22" t="str">
        <f t="shared" si="5"/>
        <v/>
      </c>
      <c r="P181" s="19" t="s">
        <v>185</v>
      </c>
      <c r="Q181" s="439" t="s">
        <v>81</v>
      </c>
      <c r="R181" s="439"/>
      <c r="S181" s="439"/>
      <c r="T181" s="104"/>
      <c r="U181" s="32"/>
      <c r="V181" s="332">
        <v>27</v>
      </c>
      <c r="W181" s="372" t="str">
        <f>IF(OR(G181="Collectors",G181="Special Pricing",G181="Boutique",G181="leafjoy littles™"),
    IF(V181&gt;0,"Show","Hide"),
    IF(V181 &gt;= _xlfn.XLOOKUP(F181,'[1]Min table'!C$3:C$5,'[1]Min table'!D$3:D$5),"Show","Hide")
)</f>
        <v>Show</v>
      </c>
      <c r="X181" s="317" t="s">
        <v>1941</v>
      </c>
      <c r="Y181" s="317" t="s">
        <v>183</v>
      </c>
    </row>
    <row r="182" spans="3:25" ht="18.75" hidden="1" x14ac:dyDescent="0.3">
      <c r="C182" s="322"/>
      <c r="D182" s="9"/>
      <c r="E182" s="9"/>
      <c r="F182" s="21" t="s">
        <v>77</v>
      </c>
      <c r="G182" s="20" t="s">
        <v>2748</v>
      </c>
      <c r="H182" s="377" t="s">
        <v>186</v>
      </c>
      <c r="I182" s="377"/>
      <c r="J182" s="377" t="s">
        <v>187</v>
      </c>
      <c r="K182" s="377"/>
      <c r="L182" s="1"/>
      <c r="M182" s="5"/>
      <c r="N182" s="19">
        <v>2.65</v>
      </c>
      <c r="O182" s="22" t="str">
        <f t="shared" si="5"/>
        <v/>
      </c>
      <c r="P182" s="19" t="s">
        <v>109</v>
      </c>
      <c r="Q182" s="439" t="s">
        <v>81</v>
      </c>
      <c r="R182" s="439"/>
      <c r="S182" s="439"/>
      <c r="T182" s="104"/>
      <c r="U182" s="32"/>
      <c r="V182" s="332">
        <v>-3</v>
      </c>
      <c r="W182" s="372" t="str">
        <f>IF(OR(G182="Collectors",G182="Special Pricing",G182="Boutique",G182="leafjoy littles™"),
    IF(V182&gt;0,"Show","Hide"),
    IF(V182 &gt;= _xlfn.XLOOKUP(F182,'[1]Min table'!C$3:C$5,'[1]Min table'!D$3:D$5),"Show","Hide")
)</f>
        <v>Hide</v>
      </c>
      <c r="X182" s="317" t="s">
        <v>1942</v>
      </c>
      <c r="Y182" s="317" t="s">
        <v>186</v>
      </c>
    </row>
    <row r="183" spans="3:25" ht="18.75" hidden="1" x14ac:dyDescent="0.3">
      <c r="C183" s="322"/>
      <c r="D183" s="9"/>
      <c r="E183" s="9"/>
      <c r="F183" s="21" t="s">
        <v>77</v>
      </c>
      <c r="G183" s="20" t="s">
        <v>2748</v>
      </c>
      <c r="H183" s="399" t="s">
        <v>188</v>
      </c>
      <c r="I183" s="399"/>
      <c r="J183" s="399" t="s">
        <v>189</v>
      </c>
      <c r="K183" s="399"/>
      <c r="L183" s="1"/>
      <c r="M183" s="5"/>
      <c r="N183" s="19">
        <v>2.65</v>
      </c>
      <c r="O183" s="22" t="str">
        <f t="shared" si="5"/>
        <v/>
      </c>
      <c r="P183" s="19" t="s">
        <v>190</v>
      </c>
      <c r="Q183" s="439" t="s">
        <v>81</v>
      </c>
      <c r="R183" s="439"/>
      <c r="S183" s="439"/>
      <c r="T183" s="92"/>
      <c r="U183" s="32"/>
      <c r="V183" s="332">
        <v>23</v>
      </c>
      <c r="W183" s="372" t="str">
        <f>IF(OR(G183="Collectors",G183="Special Pricing",G183="Boutique",G183="leafjoy littles™"),
    IF(V183&gt;0,"Show","Hide"),
    IF(V183 &gt;= _xlfn.XLOOKUP(F183,'[1]Min table'!C$3:C$5,'[1]Min table'!D$3:D$5),"Show","Hide")
)</f>
        <v>Show</v>
      </c>
      <c r="X183" s="317" t="s">
        <v>1943</v>
      </c>
      <c r="Y183" s="317" t="s">
        <v>188</v>
      </c>
    </row>
    <row r="184" spans="3:25" ht="18.75" hidden="1" x14ac:dyDescent="0.3">
      <c r="C184" s="322"/>
      <c r="D184" s="9"/>
      <c r="E184" s="9"/>
      <c r="F184" s="21" t="s">
        <v>77</v>
      </c>
      <c r="G184" s="20" t="s">
        <v>2748</v>
      </c>
      <c r="H184" s="377" t="s">
        <v>191</v>
      </c>
      <c r="I184" s="377"/>
      <c r="J184" s="377" t="s">
        <v>192</v>
      </c>
      <c r="K184" s="377"/>
      <c r="L184" s="1"/>
      <c r="M184" s="5"/>
      <c r="N184" s="19">
        <v>2.65</v>
      </c>
      <c r="O184" s="22" t="str">
        <f t="shared" si="5"/>
        <v/>
      </c>
      <c r="P184" s="19" t="s">
        <v>190</v>
      </c>
      <c r="Q184" s="439" t="s">
        <v>81</v>
      </c>
      <c r="R184" s="439"/>
      <c r="S184" s="439"/>
      <c r="T184" s="104"/>
      <c r="U184" s="32"/>
      <c r="V184" s="332">
        <v>3</v>
      </c>
      <c r="W184" s="372" t="str">
        <f>IF(OR(G184="Collectors",G184="Special Pricing",G184="Boutique",G184="leafjoy littles™"),
    IF(V184&gt;0,"Show","Hide"),
    IF(V184 &gt;= _xlfn.XLOOKUP(F184,'[1]Min table'!C$3:C$5,'[1]Min table'!D$3:D$5),"Show","Hide")
)</f>
        <v>Show</v>
      </c>
      <c r="X184" s="317" t="s">
        <v>1944</v>
      </c>
      <c r="Y184" s="317" t="s">
        <v>191</v>
      </c>
    </row>
    <row r="185" spans="3:25" ht="18.75" hidden="1" x14ac:dyDescent="0.3">
      <c r="C185" s="322"/>
      <c r="D185" s="9"/>
      <c r="E185" s="9"/>
      <c r="F185" s="21" t="s">
        <v>77</v>
      </c>
      <c r="G185" s="20" t="s">
        <v>2748</v>
      </c>
      <c r="H185" s="399" t="s">
        <v>193</v>
      </c>
      <c r="I185" s="399"/>
      <c r="J185" s="399" t="s">
        <v>194</v>
      </c>
      <c r="K185" s="399"/>
      <c r="L185" s="1"/>
      <c r="M185" s="5"/>
      <c r="N185" s="19">
        <v>2.65</v>
      </c>
      <c r="O185" s="22" t="str">
        <f t="shared" si="5"/>
        <v/>
      </c>
      <c r="P185" s="19" t="s">
        <v>190</v>
      </c>
      <c r="Q185" s="439" t="s">
        <v>81</v>
      </c>
      <c r="R185" s="439"/>
      <c r="S185" s="439"/>
      <c r="T185" s="104"/>
      <c r="U185" s="32"/>
      <c r="V185" s="332">
        <v>13</v>
      </c>
      <c r="W185" s="372" t="str">
        <f>IF(OR(G185="Collectors",G185="Special Pricing",G185="Boutique",G185="leafjoy littles™"),
    IF(V185&gt;0,"Show","Hide"),
    IF(V185 &gt;= _xlfn.XLOOKUP(F185,'[1]Min table'!C$3:C$5,'[1]Min table'!D$3:D$5),"Show","Hide")
)</f>
        <v>Show</v>
      </c>
      <c r="X185" s="317" t="s">
        <v>1945</v>
      </c>
      <c r="Y185" s="317" t="s">
        <v>193</v>
      </c>
    </row>
    <row r="186" spans="3:25" ht="18.75" hidden="1" x14ac:dyDescent="0.3">
      <c r="C186" s="322"/>
      <c r="D186" s="9"/>
      <c r="E186" s="9"/>
      <c r="F186" s="21" t="s">
        <v>77</v>
      </c>
      <c r="G186" s="20" t="s">
        <v>2748</v>
      </c>
      <c r="H186" s="376" t="s">
        <v>195</v>
      </c>
      <c r="I186" s="376"/>
      <c r="J186" s="376" t="s">
        <v>196</v>
      </c>
      <c r="K186" s="376"/>
      <c r="L186" s="1"/>
      <c r="M186" s="5"/>
      <c r="N186" s="19">
        <v>2.65</v>
      </c>
      <c r="O186" s="22" t="str">
        <f t="shared" si="5"/>
        <v/>
      </c>
      <c r="P186" s="19" t="s">
        <v>197</v>
      </c>
      <c r="Q186" s="439" t="s">
        <v>81</v>
      </c>
      <c r="R186" s="439"/>
      <c r="S186" s="439"/>
      <c r="T186" s="104"/>
      <c r="U186" s="32"/>
      <c r="V186" s="332">
        <v>10</v>
      </c>
      <c r="W186" s="372" t="str">
        <f>IF(OR(G186="Collectors",G186="Special Pricing",G186="Boutique",G186="leafjoy littles™"),
    IF(V186&gt;0,"Show","Hide"),
    IF(V186 &gt;= _xlfn.XLOOKUP(F186,'[1]Min table'!C$3:C$5,'[1]Min table'!D$3:D$5),"Show","Hide")
)</f>
        <v>Show</v>
      </c>
      <c r="X186" s="317" t="s">
        <v>1946</v>
      </c>
      <c r="Y186" s="317" t="s">
        <v>195</v>
      </c>
    </row>
    <row r="187" spans="3:25" ht="18.75" hidden="1" x14ac:dyDescent="0.3">
      <c r="C187" s="322"/>
      <c r="D187" s="9"/>
      <c r="E187" s="9"/>
      <c r="F187" s="21" t="s">
        <v>77</v>
      </c>
      <c r="G187" s="20" t="s">
        <v>2748</v>
      </c>
      <c r="H187" s="399" t="s">
        <v>198</v>
      </c>
      <c r="I187" s="399"/>
      <c r="J187" s="399" t="s">
        <v>199</v>
      </c>
      <c r="K187" s="399"/>
      <c r="L187" s="1"/>
      <c r="M187" s="5"/>
      <c r="N187" s="19">
        <v>2.65</v>
      </c>
      <c r="O187" s="22" t="str">
        <f t="shared" si="5"/>
        <v/>
      </c>
      <c r="P187" s="19" t="s">
        <v>200</v>
      </c>
      <c r="Q187" s="439" t="s">
        <v>81</v>
      </c>
      <c r="R187" s="439"/>
      <c r="S187" s="439"/>
      <c r="T187" s="104"/>
      <c r="U187" s="32"/>
      <c r="V187" s="332">
        <v>14</v>
      </c>
      <c r="W187" s="372" t="str">
        <f>IF(OR(G187="Collectors",G187="Special Pricing",G187="Boutique",G187="leafjoy littles™"),
    IF(V187&gt;0,"Show","Hide"),
    IF(V187 &gt;= _xlfn.XLOOKUP(F187,'[1]Min table'!C$3:C$5,'[1]Min table'!D$3:D$5),"Show","Hide")
)</f>
        <v>Show</v>
      </c>
      <c r="X187" s="317" t="s">
        <v>1947</v>
      </c>
      <c r="Y187" s="317" t="s">
        <v>198</v>
      </c>
    </row>
    <row r="188" spans="3:25" ht="18.75" hidden="1" x14ac:dyDescent="0.3">
      <c r="C188" s="322"/>
      <c r="D188" s="9"/>
      <c r="E188" s="9"/>
      <c r="F188" s="21" t="s">
        <v>77</v>
      </c>
      <c r="G188" s="20" t="s">
        <v>2748</v>
      </c>
      <c r="H188" s="377" t="s">
        <v>201</v>
      </c>
      <c r="I188" s="377"/>
      <c r="J188" s="377" t="s">
        <v>202</v>
      </c>
      <c r="K188" s="377"/>
      <c r="L188" s="1"/>
      <c r="M188" s="5"/>
      <c r="N188" s="19">
        <v>2.65</v>
      </c>
      <c r="O188" s="22" t="str">
        <f t="shared" si="5"/>
        <v/>
      </c>
      <c r="P188" s="19" t="s">
        <v>203</v>
      </c>
      <c r="Q188" s="439" t="s">
        <v>81</v>
      </c>
      <c r="R188" s="439"/>
      <c r="S188" s="439"/>
      <c r="T188" s="92"/>
      <c r="U188" s="32"/>
      <c r="V188" s="332">
        <v>0</v>
      </c>
      <c r="W188" s="372" t="str">
        <f>IF(OR(G188="Collectors",G188="Special Pricing",G188="Boutique",G188="leafjoy littles™"),
    IF(V188&gt;0,"Show","Hide"),
    IF(V188 &gt;= _xlfn.XLOOKUP(F188,'[1]Min table'!C$3:C$5,'[1]Min table'!D$3:D$5),"Show","Hide")
)</f>
        <v>Hide</v>
      </c>
      <c r="X188" s="317" t="s">
        <v>1948</v>
      </c>
      <c r="Y188" s="317" t="s">
        <v>201</v>
      </c>
    </row>
    <row r="189" spans="3:25" ht="18.75" hidden="1" x14ac:dyDescent="0.3">
      <c r="C189" s="322"/>
      <c r="D189" s="9"/>
      <c r="E189" s="9"/>
      <c r="F189" s="21" t="s">
        <v>77</v>
      </c>
      <c r="G189" s="20" t="s">
        <v>2748</v>
      </c>
      <c r="H189" s="399" t="s">
        <v>204</v>
      </c>
      <c r="I189" s="399"/>
      <c r="J189" s="399" t="s">
        <v>205</v>
      </c>
      <c r="K189" s="399"/>
      <c r="L189" s="1"/>
      <c r="M189" s="5"/>
      <c r="N189" s="19">
        <v>2.65</v>
      </c>
      <c r="O189" s="22" t="str">
        <f t="shared" si="5"/>
        <v/>
      </c>
      <c r="P189" s="19" t="s">
        <v>206</v>
      </c>
      <c r="Q189" s="439" t="s">
        <v>81</v>
      </c>
      <c r="R189" s="439"/>
      <c r="S189" s="439"/>
      <c r="T189" s="104"/>
      <c r="U189" s="32"/>
      <c r="V189" s="332">
        <v>16</v>
      </c>
      <c r="W189" s="372" t="str">
        <f>IF(OR(G189="Collectors",G189="Special Pricing",G189="Boutique",G189="leafjoy littles™"),
    IF(V189&gt;0,"Show","Hide"),
    IF(V189 &gt;= _xlfn.XLOOKUP(F189,'[1]Min table'!C$3:C$5,'[1]Min table'!D$3:D$5),"Show","Hide")
)</f>
        <v>Show</v>
      </c>
      <c r="X189" s="317" t="s">
        <v>1949</v>
      </c>
      <c r="Y189" s="317" t="s">
        <v>204</v>
      </c>
    </row>
    <row r="190" spans="3:25" ht="18.75" hidden="1" x14ac:dyDescent="0.3">
      <c r="C190" s="322"/>
      <c r="D190" s="9"/>
      <c r="E190" s="9"/>
      <c r="F190" s="21" t="s">
        <v>77</v>
      </c>
      <c r="G190" s="20" t="s">
        <v>2748</v>
      </c>
      <c r="H190" s="376" t="s">
        <v>207</v>
      </c>
      <c r="I190" s="376"/>
      <c r="J190" s="376" t="s">
        <v>208</v>
      </c>
      <c r="K190" s="376"/>
      <c r="L190" s="1"/>
      <c r="M190" s="5"/>
      <c r="N190" s="19">
        <v>2.65</v>
      </c>
      <c r="O190" s="22" t="str">
        <f t="shared" si="5"/>
        <v/>
      </c>
      <c r="P190" s="19" t="s">
        <v>209</v>
      </c>
      <c r="Q190" s="439" t="s">
        <v>81</v>
      </c>
      <c r="R190" s="439"/>
      <c r="S190" s="439"/>
      <c r="T190" s="92"/>
      <c r="U190" s="32"/>
      <c r="V190" s="332">
        <v>-18</v>
      </c>
      <c r="W190" s="372" t="str">
        <f>IF(OR(G190="Collectors",G190="Special Pricing",G190="Boutique",G190="leafjoy littles™"),
    IF(V190&gt;0,"Show","Hide"),
    IF(V190 &gt;= _xlfn.XLOOKUP(F190,'[1]Min table'!C$3:C$5,'[1]Min table'!D$3:D$5),"Show","Hide")
)</f>
        <v>Hide</v>
      </c>
      <c r="X190" s="317" t="s">
        <v>1950</v>
      </c>
      <c r="Y190" s="317" t="s">
        <v>207</v>
      </c>
    </row>
    <row r="191" spans="3:25" ht="18.75" hidden="1" x14ac:dyDescent="0.3">
      <c r="C191" s="322"/>
      <c r="D191" s="9"/>
      <c r="E191" s="9"/>
      <c r="F191" s="21" t="s">
        <v>77</v>
      </c>
      <c r="G191" s="20" t="s">
        <v>2748</v>
      </c>
      <c r="H191" s="377" t="s">
        <v>210</v>
      </c>
      <c r="I191" s="377"/>
      <c r="J191" s="377" t="s">
        <v>211</v>
      </c>
      <c r="K191" s="377"/>
      <c r="L191" s="1"/>
      <c r="M191" s="5"/>
      <c r="N191" s="19">
        <v>2.65</v>
      </c>
      <c r="O191" s="22" t="str">
        <f t="shared" si="5"/>
        <v/>
      </c>
      <c r="P191" s="19" t="s">
        <v>209</v>
      </c>
      <c r="Q191" s="439" t="s">
        <v>81</v>
      </c>
      <c r="R191" s="439"/>
      <c r="S191" s="439"/>
      <c r="T191" s="104"/>
      <c r="U191" s="32"/>
      <c r="V191" s="332">
        <v>0</v>
      </c>
      <c r="W191" s="372" t="str">
        <f>IF(OR(G191="Collectors",G191="Special Pricing",G191="Boutique",G191="leafjoy littles™"),
    IF(V191&gt;0,"Show","Hide"),
    IF(V191 &gt;= _xlfn.XLOOKUP(F191,'[1]Min table'!C$3:C$5,'[1]Min table'!D$3:D$5),"Show","Hide")
)</f>
        <v>Hide</v>
      </c>
      <c r="X191" s="317" t="s">
        <v>1951</v>
      </c>
      <c r="Y191" s="317" t="s">
        <v>210</v>
      </c>
    </row>
    <row r="192" spans="3:25" ht="18.75" hidden="1" x14ac:dyDescent="0.3">
      <c r="C192" s="322"/>
      <c r="D192" s="9"/>
      <c r="E192" s="9"/>
      <c r="F192" s="21" t="s">
        <v>77</v>
      </c>
      <c r="G192" s="20" t="s">
        <v>2748</v>
      </c>
      <c r="H192" s="377" t="s">
        <v>212</v>
      </c>
      <c r="I192" s="377"/>
      <c r="J192" s="377" t="s">
        <v>213</v>
      </c>
      <c r="K192" s="377"/>
      <c r="L192" s="1"/>
      <c r="M192" s="5"/>
      <c r="N192" s="19">
        <v>2.65</v>
      </c>
      <c r="O192" s="22" t="str">
        <f t="shared" si="5"/>
        <v/>
      </c>
      <c r="P192" s="19" t="s">
        <v>209</v>
      </c>
      <c r="Q192" s="439" t="s">
        <v>81</v>
      </c>
      <c r="R192" s="439"/>
      <c r="S192" s="439"/>
      <c r="T192" s="104"/>
      <c r="U192" s="32"/>
      <c r="V192" s="332">
        <v>0</v>
      </c>
      <c r="W192" s="372" t="str">
        <f>IF(OR(G192="Collectors",G192="Special Pricing",G192="Boutique",G192="leafjoy littles™"),
    IF(V192&gt;0,"Show","Hide"),
    IF(V192 &gt;= _xlfn.XLOOKUP(F192,'[1]Min table'!C$3:C$5,'[1]Min table'!D$3:D$5),"Show","Hide")
)</f>
        <v>Hide</v>
      </c>
      <c r="X192" s="317" t="s">
        <v>1952</v>
      </c>
      <c r="Y192" s="317" t="s">
        <v>212</v>
      </c>
    </row>
    <row r="193" spans="3:27 16365:16368" ht="18.75" hidden="1" x14ac:dyDescent="0.3">
      <c r="C193" s="322"/>
      <c r="D193" s="9"/>
      <c r="E193" s="9"/>
      <c r="F193" s="21" t="s">
        <v>77</v>
      </c>
      <c r="G193" s="20" t="s">
        <v>2748</v>
      </c>
      <c r="H193" s="377" t="s">
        <v>214</v>
      </c>
      <c r="I193" s="377"/>
      <c r="J193" s="377" t="s">
        <v>215</v>
      </c>
      <c r="K193" s="377"/>
      <c r="L193" s="1"/>
      <c r="M193" s="5"/>
      <c r="N193" s="19">
        <v>2.65</v>
      </c>
      <c r="O193" s="22" t="str">
        <f t="shared" si="5"/>
        <v/>
      </c>
      <c r="P193" s="19" t="s">
        <v>209</v>
      </c>
      <c r="Q193" s="439" t="s">
        <v>81</v>
      </c>
      <c r="R193" s="439"/>
      <c r="S193" s="439"/>
      <c r="T193" s="92"/>
      <c r="U193" s="32"/>
      <c r="V193" s="332">
        <v>0</v>
      </c>
      <c r="W193" s="372" t="str">
        <f>IF(OR(G193="Collectors",G193="Special Pricing",G193="Boutique",G193="leafjoy littles™"),
    IF(V193&gt;0,"Show","Hide"),
    IF(V193 &gt;= _xlfn.XLOOKUP(F193,'[1]Min table'!C$3:C$5,'[1]Min table'!D$3:D$5),"Show","Hide")
)</f>
        <v>Hide</v>
      </c>
      <c r="X193" s="317" t="s">
        <v>1953</v>
      </c>
      <c r="Y193" s="317" t="s">
        <v>214</v>
      </c>
    </row>
    <row r="194" spans="3:27 16365:16368" ht="18.75" x14ac:dyDescent="0.3">
      <c r="C194" s="322"/>
      <c r="D194" s="9"/>
      <c r="E194" s="9"/>
      <c r="F194" s="21" t="s">
        <v>77</v>
      </c>
      <c r="G194" s="20" t="s">
        <v>2748</v>
      </c>
      <c r="H194" s="399" t="s">
        <v>216</v>
      </c>
      <c r="I194" s="399"/>
      <c r="J194" s="399" t="s">
        <v>217</v>
      </c>
      <c r="K194" s="399"/>
      <c r="L194" s="1"/>
      <c r="M194" s="5"/>
      <c r="N194" s="19">
        <v>2.65</v>
      </c>
      <c r="O194" s="22" t="str">
        <f t="shared" si="5"/>
        <v/>
      </c>
      <c r="P194" s="19" t="s">
        <v>157</v>
      </c>
      <c r="Q194" s="439" t="s">
        <v>81</v>
      </c>
      <c r="R194" s="439"/>
      <c r="S194" s="439"/>
      <c r="T194" s="92"/>
      <c r="U194" s="32"/>
      <c r="V194" s="332">
        <v>54</v>
      </c>
      <c r="W194" s="372" t="str">
        <f>IF(OR(G194="Collectors",G194="Special Pricing",G194="Boutique",G194="leafjoy littles™"),
    IF(V194&gt;0,"Show","Hide"),
    IF(V194 &gt;= _xlfn.XLOOKUP(F194,'[1]Min table'!C$3:C$5,'[1]Min table'!D$3:D$5),"Show","Hide")
)</f>
        <v>Show</v>
      </c>
      <c r="X194" s="317" t="s">
        <v>1954</v>
      </c>
      <c r="Y194" s="317" t="s">
        <v>216</v>
      </c>
    </row>
    <row r="195" spans="3:27 16365:16368" ht="18.75" hidden="1" x14ac:dyDescent="0.3">
      <c r="C195" s="322"/>
      <c r="D195" s="9"/>
      <c r="E195" s="9"/>
      <c r="F195" s="21" t="s">
        <v>77</v>
      </c>
      <c r="G195" s="20" t="s">
        <v>2748</v>
      </c>
      <c r="H195" s="399" t="s">
        <v>2255</v>
      </c>
      <c r="I195" s="399" t="s">
        <v>2254</v>
      </c>
      <c r="J195" s="399"/>
      <c r="K195" s="399"/>
      <c r="L195" s="1"/>
      <c r="M195" s="5"/>
      <c r="N195" s="19">
        <v>2.65</v>
      </c>
      <c r="O195" s="22" t="str">
        <f t="shared" si="5"/>
        <v/>
      </c>
      <c r="P195" s="19" t="s">
        <v>157</v>
      </c>
      <c r="Q195" s="439" t="s">
        <v>81</v>
      </c>
      <c r="R195" s="439"/>
      <c r="S195" s="439"/>
      <c r="T195" s="92"/>
      <c r="U195" s="32"/>
      <c r="V195" s="332">
        <v>19</v>
      </c>
      <c r="W195" s="372" t="str">
        <f>IF(OR(G195="Collectors",G195="Special Pricing",G195="Boutique",G195="leafjoy littles™"),
    IF(V195&gt;0,"Show","Hide"),
    IF(V195 &gt;= _xlfn.XLOOKUP(F195,'[1]Min table'!C$3:C$5,'[1]Min table'!D$3:D$5),"Show","Hide")
)</f>
        <v>Show</v>
      </c>
      <c r="X195" s="317" t="s">
        <v>2255</v>
      </c>
      <c r="Y195" s="317" t="s">
        <v>2254</v>
      </c>
    </row>
    <row r="196" spans="3:27 16365:16368" ht="18.75" hidden="1" x14ac:dyDescent="0.3">
      <c r="C196" s="322"/>
      <c r="D196" s="9"/>
      <c r="E196" s="9"/>
      <c r="F196" s="21" t="s">
        <v>77</v>
      </c>
      <c r="G196" s="20" t="s">
        <v>2748</v>
      </c>
      <c r="H196" s="377" t="s">
        <v>218</v>
      </c>
      <c r="I196" s="377"/>
      <c r="J196" s="377" t="s">
        <v>219</v>
      </c>
      <c r="K196" s="377"/>
      <c r="L196" s="1"/>
      <c r="M196" s="5"/>
      <c r="N196" s="19">
        <v>2.65</v>
      </c>
      <c r="O196" s="22" t="str">
        <f t="shared" si="5"/>
        <v/>
      </c>
      <c r="P196" s="19" t="s">
        <v>157</v>
      </c>
      <c r="Q196" s="439" t="s">
        <v>81</v>
      </c>
      <c r="R196" s="439"/>
      <c r="S196" s="439"/>
      <c r="T196" s="104"/>
      <c r="U196" s="32"/>
      <c r="V196" s="332">
        <v>3</v>
      </c>
      <c r="W196" s="372" t="str">
        <f>IF(OR(G196="Collectors",G196="Special Pricing",G196="Boutique",G196="leafjoy littles™"),
    IF(V196&gt;0,"Show","Hide"),
    IF(V196 &gt;= _xlfn.XLOOKUP(F196,'[1]Min table'!C$3:C$5,'[1]Min table'!D$3:D$5),"Show","Hide")
)</f>
        <v>Show</v>
      </c>
      <c r="X196" s="317" t="s">
        <v>1955</v>
      </c>
      <c r="Y196" s="317" t="s">
        <v>1752</v>
      </c>
    </row>
    <row r="197" spans="3:27 16365:16368" ht="21.75" customHeight="1" thickBot="1" x14ac:dyDescent="0.4">
      <c r="C197" s="322"/>
      <c r="D197" s="9"/>
      <c r="E197" s="170"/>
      <c r="F197" s="238"/>
      <c r="G197" s="239"/>
      <c r="H197" s="239"/>
      <c r="I197" s="239"/>
      <c r="J197" s="239"/>
      <c r="K197" s="228" t="s">
        <v>2746</v>
      </c>
      <c r="L197" s="85">
        <f>SUBTOTAL(9,L136:L196)/24</f>
        <v>0</v>
      </c>
      <c r="M197" s="85">
        <f>SUBTOTAL(9,M136:M196)/16</f>
        <v>0</v>
      </c>
      <c r="N197" s="246"/>
      <c r="O197" s="18">
        <f>SUBTOTAL(9,O136:O196)</f>
        <v>0</v>
      </c>
      <c r="P197" s="245"/>
      <c r="Q197" s="246"/>
      <c r="R197" s="246"/>
      <c r="S197" s="247"/>
      <c r="T197" s="173"/>
      <c r="U197" s="29"/>
      <c r="V197" s="328"/>
      <c r="W197" s="328"/>
    </row>
    <row r="198" spans="3:27 16365:16368" ht="21.75" customHeight="1" thickTop="1" x14ac:dyDescent="0.45">
      <c r="C198" s="322"/>
      <c r="D198" s="31"/>
      <c r="E198" s="172"/>
      <c r="F198" s="240"/>
      <c r="G198" s="241"/>
      <c r="H198" s="449"/>
      <c r="I198" s="449"/>
      <c r="J198" s="449"/>
      <c r="K198" s="449"/>
      <c r="L198" s="242"/>
      <c r="M198" s="242"/>
      <c r="N198" s="243"/>
      <c r="O198" s="243"/>
      <c r="P198" s="242"/>
      <c r="Q198" s="242"/>
      <c r="R198" s="242"/>
      <c r="S198" s="244"/>
      <c r="T198" s="174"/>
      <c r="U198" s="30"/>
      <c r="V198" s="334"/>
      <c r="W198" s="334"/>
      <c r="X198" s="335"/>
      <c r="Y198" s="335"/>
      <c r="Z198" s="335"/>
      <c r="AA198" s="335"/>
      <c r="XEK198" s="405"/>
      <c r="XEL198" s="405"/>
      <c r="XEM198" s="405"/>
      <c r="XEN198" s="405"/>
    </row>
    <row r="199" spans="3:27 16365:16368" s="335" customFormat="1" ht="53.25" customHeight="1" x14ac:dyDescent="0.55000000000000004">
      <c r="C199" s="351"/>
      <c r="D199" s="31"/>
      <c r="E199" s="172"/>
      <c r="F199" s="240"/>
      <c r="G199" s="241"/>
      <c r="H199" s="418" t="s">
        <v>2761</v>
      </c>
      <c r="I199" s="418"/>
      <c r="J199" s="418"/>
      <c r="K199" s="418"/>
      <c r="L199" s="242"/>
      <c r="M199" s="242"/>
      <c r="N199" s="243"/>
      <c r="O199" s="243"/>
      <c r="P199" s="242"/>
      <c r="Q199" s="242"/>
      <c r="R199" s="242"/>
      <c r="S199" s="244"/>
      <c r="T199" s="174"/>
      <c r="U199" s="30"/>
      <c r="V199" s="334"/>
      <c r="W199" s="334"/>
    </row>
    <row r="200" spans="3:27 16365:16368" s="335" customFormat="1" ht="30" customHeight="1" x14ac:dyDescent="0.35">
      <c r="C200" s="351"/>
      <c r="D200" s="31"/>
      <c r="E200" s="172"/>
      <c r="F200" s="240"/>
      <c r="G200" s="241"/>
      <c r="H200" s="404" t="s">
        <v>2767</v>
      </c>
      <c r="I200" s="404"/>
      <c r="J200" s="404"/>
      <c r="K200" s="404"/>
      <c r="L200" s="242"/>
      <c r="M200" s="242"/>
      <c r="N200" s="243"/>
      <c r="O200" s="243"/>
      <c r="P200" s="242"/>
      <c r="Q200" s="242"/>
      <c r="R200" s="242"/>
      <c r="S200" s="244"/>
      <c r="T200" s="174"/>
      <c r="U200" s="30"/>
      <c r="V200" s="334"/>
      <c r="W200" s="334"/>
    </row>
    <row r="201" spans="3:27 16365:16368" ht="49.5" customHeight="1" x14ac:dyDescent="0.25">
      <c r="C201" s="322"/>
      <c r="D201" s="9"/>
      <c r="E201" s="170"/>
      <c r="F201" s="369"/>
      <c r="G201" s="370"/>
      <c r="H201" s="451" t="s">
        <v>220</v>
      </c>
      <c r="I201" s="451"/>
      <c r="J201" s="451"/>
      <c r="K201" s="452"/>
      <c r="L201" s="363" t="s">
        <v>28</v>
      </c>
      <c r="M201" s="364" t="s">
        <v>61</v>
      </c>
      <c r="N201" s="204" t="s">
        <v>30</v>
      </c>
      <c r="O201" s="205" t="s">
        <v>31</v>
      </c>
      <c r="P201" s="204" t="s">
        <v>32</v>
      </c>
      <c r="Q201" s="508" t="s">
        <v>33</v>
      </c>
      <c r="R201" s="508"/>
      <c r="S201" s="509"/>
      <c r="T201" s="103"/>
      <c r="U201" s="24"/>
      <c r="V201" s="331"/>
      <c r="W201" s="331"/>
    </row>
    <row r="202" spans="3:27 16365:16368" ht="18.75" hidden="1" x14ac:dyDescent="0.3">
      <c r="C202" s="322"/>
      <c r="D202" s="9"/>
      <c r="E202" s="9"/>
      <c r="F202" s="21" t="s">
        <v>75</v>
      </c>
      <c r="G202" s="20" t="s">
        <v>945</v>
      </c>
      <c r="H202" s="377" t="s">
        <v>221</v>
      </c>
      <c r="I202" s="377"/>
      <c r="J202" s="377" t="s">
        <v>222</v>
      </c>
      <c r="K202" s="377"/>
      <c r="L202" s="1"/>
      <c r="M202" s="2"/>
      <c r="N202" s="19">
        <v>8.5</v>
      </c>
      <c r="O202" s="22" t="str">
        <f t="shared" ref="O202:O208" si="6">IF(AND(L202="",M202=""),"",(L202*N202)+(M202*(N202+2.25)))</f>
        <v/>
      </c>
      <c r="P202" s="20" t="s">
        <v>223</v>
      </c>
      <c r="Q202" s="375" t="s">
        <v>224</v>
      </c>
      <c r="R202" s="375"/>
      <c r="S202" s="375"/>
      <c r="T202" s="93"/>
      <c r="U202" s="25"/>
      <c r="V202" s="332">
        <v>0</v>
      </c>
      <c r="W202" s="372" t="str">
        <f>IF(OR(G202="Collectors",G202="Special Pricing",G202="Boutique",G202="leafjoy littles™",G202="Premium"),
    IF(V202&gt;0,"Show","Hide"),
    IF(V202 &gt;= _xlfn.XLOOKUP(F202,'Min table'!C$3:C$5,),"Show","Hide")
)</f>
        <v>Hide</v>
      </c>
      <c r="X202" s="317" t="s">
        <v>1957</v>
      </c>
      <c r="Y202" s="317" t="s">
        <v>221</v>
      </c>
    </row>
    <row r="203" spans="3:27 16365:16368" ht="18.75" hidden="1" x14ac:dyDescent="0.3">
      <c r="C203" s="322"/>
      <c r="D203" s="9"/>
      <c r="E203" s="9"/>
      <c r="F203" s="21" t="s">
        <v>75</v>
      </c>
      <c r="G203" s="20" t="s">
        <v>945</v>
      </c>
      <c r="H203" s="377" t="s">
        <v>225</v>
      </c>
      <c r="I203" s="377"/>
      <c r="J203" s="377" t="s">
        <v>226</v>
      </c>
      <c r="K203" s="377"/>
      <c r="L203" s="1"/>
      <c r="M203" s="2"/>
      <c r="N203" s="19">
        <v>8.5</v>
      </c>
      <c r="O203" s="22" t="str">
        <f t="shared" si="6"/>
        <v/>
      </c>
      <c r="P203" s="20" t="s">
        <v>223</v>
      </c>
      <c r="Q203" s="375" t="s">
        <v>224</v>
      </c>
      <c r="R203" s="375"/>
      <c r="S203" s="375"/>
      <c r="T203" s="93"/>
      <c r="U203" s="27"/>
      <c r="V203" s="336">
        <v>0</v>
      </c>
      <c r="W203" s="372" t="str">
        <f>IF(OR(G203="Collectors",G203="Special Pricing",G203="Boutique",G203="leafjoy littles™",G203="Premium"),
    IF(V203&gt;0,"Show","Hide"),
    IF(V203 &gt;= _xlfn.XLOOKUP(F203,'Min table'!C$3:C$5,),"Show","Hide")
)</f>
        <v>Hide</v>
      </c>
      <c r="X203" s="317" t="s">
        <v>1958</v>
      </c>
      <c r="Y203" s="317" t="s">
        <v>225</v>
      </c>
    </row>
    <row r="204" spans="3:27 16365:16368" ht="18.75" hidden="1" x14ac:dyDescent="0.3">
      <c r="C204" s="322"/>
      <c r="D204" s="9"/>
      <c r="E204" s="9"/>
      <c r="F204" s="21" t="s">
        <v>75</v>
      </c>
      <c r="G204" s="20" t="s">
        <v>945</v>
      </c>
      <c r="H204" s="377" t="s">
        <v>227</v>
      </c>
      <c r="I204" s="377"/>
      <c r="J204" s="377" t="s">
        <v>228</v>
      </c>
      <c r="K204" s="377"/>
      <c r="L204" s="1"/>
      <c r="M204" s="2"/>
      <c r="N204" s="19">
        <v>8.5</v>
      </c>
      <c r="O204" s="22" t="str">
        <f t="shared" si="6"/>
        <v/>
      </c>
      <c r="P204" s="20" t="s">
        <v>223</v>
      </c>
      <c r="Q204" s="375" t="s">
        <v>224</v>
      </c>
      <c r="R204" s="375"/>
      <c r="S204" s="375"/>
      <c r="T204" s="93"/>
      <c r="U204" s="27"/>
      <c r="V204" s="336">
        <v>0</v>
      </c>
      <c r="W204" s="372" t="str">
        <f>IF(OR(G204="Collectors",G204="Special Pricing",G204="Boutique",G204="leafjoy littles™",G204="Premium"),
    IF(V204&gt;0,"Show","Hide"),
    IF(V204 &gt;= _xlfn.XLOOKUP(F204,'Min table'!C$3:C$5,),"Show","Hide")
)</f>
        <v>Hide</v>
      </c>
      <c r="X204" s="317" t="s">
        <v>1959</v>
      </c>
      <c r="Y204" s="317" t="s">
        <v>227</v>
      </c>
    </row>
    <row r="205" spans="3:27 16365:16368" ht="18.75" hidden="1" x14ac:dyDescent="0.3">
      <c r="C205" s="322"/>
      <c r="D205" s="9"/>
      <c r="E205" s="9"/>
      <c r="F205" s="21" t="s">
        <v>75</v>
      </c>
      <c r="G205" s="20" t="s">
        <v>945</v>
      </c>
      <c r="H205" s="377" t="s">
        <v>229</v>
      </c>
      <c r="I205" s="377"/>
      <c r="J205" s="377" t="s">
        <v>230</v>
      </c>
      <c r="K205" s="377"/>
      <c r="L205" s="1"/>
      <c r="M205" s="2"/>
      <c r="N205" s="19">
        <v>8.5</v>
      </c>
      <c r="O205" s="22" t="str">
        <f t="shared" si="6"/>
        <v/>
      </c>
      <c r="P205" s="20" t="s">
        <v>231</v>
      </c>
      <c r="Q205" s="375" t="s">
        <v>224</v>
      </c>
      <c r="R205" s="375"/>
      <c r="S205" s="375"/>
      <c r="T205" s="93"/>
      <c r="U205" s="27"/>
      <c r="V205" s="336">
        <v>0</v>
      </c>
      <c r="W205" s="372" t="str">
        <f>IF(OR(G205="Collectors",G205="Special Pricing",G205="Boutique",G205="leafjoy littles™",G205="Premium"),
    IF(V205&gt;0,"Show","Hide"),
    IF(V205 &gt;= _xlfn.XLOOKUP(F205,'Min table'!C$3:C$5,),"Show","Hide")
)</f>
        <v>Hide</v>
      </c>
      <c r="X205" s="317" t="s">
        <v>1960</v>
      </c>
      <c r="Y205" s="317" t="s">
        <v>229</v>
      </c>
    </row>
    <row r="206" spans="3:27 16365:16368" ht="18.75" hidden="1" x14ac:dyDescent="0.3">
      <c r="C206" s="322"/>
      <c r="D206" s="9"/>
      <c r="E206" s="9"/>
      <c r="F206" s="21" t="s">
        <v>75</v>
      </c>
      <c r="G206" s="20" t="s">
        <v>945</v>
      </c>
      <c r="H206" s="377" t="s">
        <v>232</v>
      </c>
      <c r="I206" s="377"/>
      <c r="J206" s="377" t="s">
        <v>233</v>
      </c>
      <c r="K206" s="377"/>
      <c r="L206" s="1"/>
      <c r="M206" s="2"/>
      <c r="N206" s="19">
        <v>8.5</v>
      </c>
      <c r="O206" s="22" t="str">
        <f t="shared" si="6"/>
        <v/>
      </c>
      <c r="P206" s="20" t="s">
        <v>223</v>
      </c>
      <c r="Q206" s="375" t="s">
        <v>224</v>
      </c>
      <c r="R206" s="375"/>
      <c r="S206" s="375"/>
      <c r="T206" s="93"/>
      <c r="U206" s="27"/>
      <c r="V206" s="336">
        <v>0</v>
      </c>
      <c r="W206" s="372" t="str">
        <f>IF(OR(G206="Collectors",G206="Special Pricing",G206="Boutique",G206="leafjoy littles™",G206="Premium"),
    IF(V206&gt;0,"Show","Hide"),
    IF(V206 &gt;= _xlfn.XLOOKUP(F206,'Min table'!C$3:C$5,),"Show","Hide")
)</f>
        <v>Hide</v>
      </c>
      <c r="X206" s="317" t="s">
        <v>1961</v>
      </c>
      <c r="Y206" s="317" t="s">
        <v>232</v>
      </c>
    </row>
    <row r="207" spans="3:27 16365:16368" ht="18.75" hidden="1" x14ac:dyDescent="0.3">
      <c r="C207" s="322"/>
      <c r="D207" s="9"/>
      <c r="E207" s="9"/>
      <c r="F207" s="21" t="s">
        <v>75</v>
      </c>
      <c r="G207" s="20" t="s">
        <v>945</v>
      </c>
      <c r="H207" s="377" t="s">
        <v>234</v>
      </c>
      <c r="I207" s="377"/>
      <c r="J207" s="377" t="s">
        <v>235</v>
      </c>
      <c r="K207" s="377"/>
      <c r="L207" s="1"/>
      <c r="M207" s="2"/>
      <c r="N207" s="19">
        <v>8.5</v>
      </c>
      <c r="O207" s="22" t="str">
        <f t="shared" si="6"/>
        <v/>
      </c>
      <c r="P207" s="20" t="s">
        <v>236</v>
      </c>
      <c r="Q207" s="375" t="s">
        <v>224</v>
      </c>
      <c r="R207" s="375"/>
      <c r="S207" s="375"/>
      <c r="T207" s="93"/>
      <c r="U207" s="27"/>
      <c r="V207" s="336">
        <v>0</v>
      </c>
      <c r="W207" s="372" t="str">
        <f>IF(OR(G207="Collectors",G207="Special Pricing",G207="Boutique",G207="leafjoy littles™",G207="Premium"),
    IF(V207&gt;0,"Show","Hide"),
    IF(V207 &gt;= _xlfn.XLOOKUP(F207,'Min table'!C$3:C$5,),"Show","Hide")
)</f>
        <v>Hide</v>
      </c>
      <c r="X207" s="317" t="s">
        <v>1962</v>
      </c>
      <c r="Y207" s="317" t="s">
        <v>234</v>
      </c>
    </row>
    <row r="208" spans="3:27 16365:16368" ht="18.75" hidden="1" x14ac:dyDescent="0.3">
      <c r="C208" s="322"/>
      <c r="D208" s="9"/>
      <c r="E208" s="9"/>
      <c r="F208" s="21" t="s">
        <v>75</v>
      </c>
      <c r="G208" s="20" t="s">
        <v>945</v>
      </c>
      <c r="H208" s="377" t="s">
        <v>237</v>
      </c>
      <c r="I208" s="377"/>
      <c r="J208" s="377" t="s">
        <v>238</v>
      </c>
      <c r="K208" s="377"/>
      <c r="L208" s="1"/>
      <c r="M208" s="2"/>
      <c r="N208" s="19">
        <v>8.5</v>
      </c>
      <c r="O208" s="22" t="str">
        <f t="shared" si="6"/>
        <v/>
      </c>
      <c r="P208" s="20" t="s">
        <v>239</v>
      </c>
      <c r="Q208" s="375" t="s">
        <v>224</v>
      </c>
      <c r="R208" s="375"/>
      <c r="S208" s="375"/>
      <c r="T208" s="93"/>
      <c r="U208" s="27"/>
      <c r="V208" s="336">
        <v>2</v>
      </c>
      <c r="W208" s="372" t="str">
        <f>IF(OR(G208="Collectors",G208="Special Pricing",G208="Boutique",G208="leafjoy littles™",G208="Premium"),
    IF(V208&gt;0,"Show","Hide"),
    IF(V208 &gt;= _xlfn.XLOOKUP(F208,'Min table'!C$3:C$5,),"Show","Hide")
)</f>
        <v>Show</v>
      </c>
      <c r="X208" s="317" t="s">
        <v>1963</v>
      </c>
      <c r="Y208" s="317" t="s">
        <v>237</v>
      </c>
    </row>
    <row r="209" spans="3:27" ht="18.75" hidden="1" x14ac:dyDescent="0.3">
      <c r="C209" s="322"/>
      <c r="D209" s="9"/>
      <c r="E209" s="9"/>
      <c r="F209" s="21" t="s">
        <v>75</v>
      </c>
      <c r="G209" s="20" t="s">
        <v>942</v>
      </c>
      <c r="H209" s="377" t="s">
        <v>240</v>
      </c>
      <c r="I209" s="377"/>
      <c r="J209" s="377" t="s">
        <v>241</v>
      </c>
      <c r="K209" s="377"/>
      <c r="L209" s="1"/>
      <c r="M209" s="2"/>
      <c r="N209" s="19">
        <v>11.5</v>
      </c>
      <c r="O209" s="22" t="str">
        <f>IF(AND(L209="",M209=""),"",(L209*N209)+(M209*(N209+2.25)))</f>
        <v/>
      </c>
      <c r="P209" s="20" t="s">
        <v>231</v>
      </c>
      <c r="Q209" s="375" t="s">
        <v>242</v>
      </c>
      <c r="R209" s="375"/>
      <c r="S209" s="375"/>
      <c r="T209" s="93"/>
      <c r="U209" s="27"/>
      <c r="V209" s="336">
        <v>0</v>
      </c>
      <c r="W209" s="372" t="str">
        <f>IF(OR(G209="Collectors",G209="Special Pricing",G209="Boutique",G209="leafjoy littles™",G209="Premium"),
    IF(V209&gt;0,"Show","Hide"),
    IF(V209 &gt;= _xlfn.XLOOKUP(F209,'Min table'!C$3:C$5,),"Show","Hide")
)</f>
        <v>Hide</v>
      </c>
      <c r="X209" s="317" t="s">
        <v>1964</v>
      </c>
      <c r="Y209" s="317" t="s">
        <v>240</v>
      </c>
    </row>
    <row r="210" spans="3:27" ht="18.75" hidden="1" x14ac:dyDescent="0.3">
      <c r="C210" s="322"/>
      <c r="D210" s="9"/>
      <c r="E210" s="9"/>
      <c r="F210" s="21" t="s">
        <v>75</v>
      </c>
      <c r="G210" s="20" t="s">
        <v>945</v>
      </c>
      <c r="H210" s="377" t="s">
        <v>243</v>
      </c>
      <c r="I210" s="377"/>
      <c r="J210" s="377" t="s">
        <v>244</v>
      </c>
      <c r="K210" s="377"/>
      <c r="L210" s="1"/>
      <c r="M210" s="2"/>
      <c r="N210" s="19">
        <v>8.5</v>
      </c>
      <c r="O210" s="22" t="str">
        <f t="shared" ref="O210:O275" si="7">IF(AND(L210="",M210=""),"",(L210*N210)+(M210*(N210+2.25)))</f>
        <v/>
      </c>
      <c r="P210" s="20" t="s">
        <v>245</v>
      </c>
      <c r="Q210" s="375" t="s">
        <v>224</v>
      </c>
      <c r="R210" s="375"/>
      <c r="S210" s="375"/>
      <c r="T210" s="93"/>
      <c r="U210" s="11"/>
      <c r="V210" s="337">
        <v>0</v>
      </c>
      <c r="W210" s="372" t="str">
        <f>IF(OR(G210="Collectors",G210="Special Pricing",G210="Boutique",G210="leafjoy littles™",G210="Premium"),
    IF(V210&gt;0,"Show","Hide"),
    IF(V210 &gt;= _xlfn.XLOOKUP(F210,'Min table'!C$3:C$5,),"Show","Hide")
)</f>
        <v>Hide</v>
      </c>
      <c r="X210" s="317" t="s">
        <v>1965</v>
      </c>
      <c r="Y210" s="317" t="s">
        <v>243</v>
      </c>
    </row>
    <row r="211" spans="3:27" ht="18.75" hidden="1" x14ac:dyDescent="0.3">
      <c r="C211" s="322"/>
      <c r="D211" s="9"/>
      <c r="E211" s="9"/>
      <c r="F211" s="21" t="s">
        <v>75</v>
      </c>
      <c r="G211" s="20" t="s">
        <v>945</v>
      </c>
      <c r="H211" s="377" t="s">
        <v>246</v>
      </c>
      <c r="I211" s="377"/>
      <c r="J211" s="377" t="s">
        <v>247</v>
      </c>
      <c r="K211" s="377"/>
      <c r="L211" s="1"/>
      <c r="M211" s="2"/>
      <c r="N211" s="19">
        <v>8.5</v>
      </c>
      <c r="O211" s="22" t="str">
        <f t="shared" si="7"/>
        <v/>
      </c>
      <c r="P211" s="20" t="s">
        <v>248</v>
      </c>
      <c r="Q211" s="375" t="s">
        <v>224</v>
      </c>
      <c r="R211" s="375"/>
      <c r="S211" s="375"/>
      <c r="T211" s="93"/>
      <c r="U211" s="11"/>
      <c r="V211" s="337">
        <v>5</v>
      </c>
      <c r="W211" s="372" t="str">
        <f>IF(OR(G211="Collectors",G211="Special Pricing",G211="Boutique",G211="leafjoy littles™",G211="Premium"),
    IF(V211&gt;0,"Show","Hide"),
    IF(V211 &gt;= _xlfn.XLOOKUP(F211,'Min table'!C$3:C$5,),"Show","Hide")
)</f>
        <v>Show</v>
      </c>
      <c r="X211" s="317" t="s">
        <v>1966</v>
      </c>
      <c r="Y211" s="317" t="s">
        <v>246</v>
      </c>
    </row>
    <row r="212" spans="3:27" ht="18.75" hidden="1" x14ac:dyDescent="0.3">
      <c r="C212" s="322"/>
      <c r="D212" s="9"/>
      <c r="E212" s="9"/>
      <c r="F212" s="21" t="s">
        <v>75</v>
      </c>
      <c r="G212" s="20" t="s">
        <v>945</v>
      </c>
      <c r="H212" s="377" t="s">
        <v>249</v>
      </c>
      <c r="I212" s="377"/>
      <c r="J212" s="377" t="s">
        <v>250</v>
      </c>
      <c r="K212" s="377"/>
      <c r="L212" s="1"/>
      <c r="M212" s="2"/>
      <c r="N212" s="19">
        <v>8.5</v>
      </c>
      <c r="O212" s="22" t="str">
        <f t="shared" si="7"/>
        <v/>
      </c>
      <c r="P212" s="20" t="s">
        <v>236</v>
      </c>
      <c r="Q212" s="375" t="s">
        <v>224</v>
      </c>
      <c r="R212" s="375"/>
      <c r="S212" s="375"/>
      <c r="T212" s="93"/>
      <c r="U212" s="11"/>
      <c r="V212" s="337">
        <v>0</v>
      </c>
      <c r="W212" s="372" t="str">
        <f>IF(OR(G212="Collectors",G212="Special Pricing",G212="Boutique",G212="leafjoy littles™",G212="Premium"),
    IF(V212&gt;0,"Show","Hide"),
    IF(V212 &gt;= _xlfn.XLOOKUP(F212,'Min table'!C$3:C$5,),"Show","Hide")
)</f>
        <v>Hide</v>
      </c>
      <c r="X212" s="317" t="s">
        <v>1967</v>
      </c>
      <c r="Y212" s="317" t="s">
        <v>249</v>
      </c>
    </row>
    <row r="213" spans="3:27" ht="18.75" hidden="1" x14ac:dyDescent="0.3">
      <c r="C213" s="322"/>
      <c r="D213" s="9"/>
      <c r="E213" s="9"/>
      <c r="F213" s="21" t="s">
        <v>75</v>
      </c>
      <c r="G213" s="20" t="s">
        <v>945</v>
      </c>
      <c r="H213" s="377" t="s">
        <v>251</v>
      </c>
      <c r="I213" s="377"/>
      <c r="J213" s="377" t="s">
        <v>252</v>
      </c>
      <c r="K213" s="377"/>
      <c r="L213" s="1"/>
      <c r="M213" s="2"/>
      <c r="N213" s="19">
        <v>8.5</v>
      </c>
      <c r="O213" s="22" t="str">
        <f t="shared" si="7"/>
        <v/>
      </c>
      <c r="P213" s="21" t="s">
        <v>253</v>
      </c>
      <c r="Q213" s="375" t="s">
        <v>224</v>
      </c>
      <c r="R213" s="375"/>
      <c r="S213" s="375"/>
      <c r="T213" s="93"/>
      <c r="U213" s="11"/>
      <c r="V213" s="337">
        <v>2</v>
      </c>
      <c r="W213" s="372" t="str">
        <f>IF(OR(G213="Collectors",G213="Special Pricing",G213="Boutique",G213="leafjoy littles™",G213="Premium"),
    IF(V213&gt;0,"Show","Hide"),
    IF(V213 &gt;= _xlfn.XLOOKUP(F213,'Min table'!C$3:C$5,),"Show","Hide")
)</f>
        <v>Show</v>
      </c>
      <c r="X213" s="317" t="s">
        <v>1968</v>
      </c>
      <c r="Y213" s="317" t="s">
        <v>251</v>
      </c>
    </row>
    <row r="214" spans="3:27" ht="18.75" hidden="1" x14ac:dyDescent="0.3">
      <c r="C214" s="322"/>
      <c r="D214" s="9"/>
      <c r="E214" s="9"/>
      <c r="F214" s="21" t="s">
        <v>75</v>
      </c>
      <c r="G214" s="20" t="s">
        <v>945</v>
      </c>
      <c r="H214" s="377" t="s">
        <v>254</v>
      </c>
      <c r="I214" s="377"/>
      <c r="J214" s="377" t="s">
        <v>255</v>
      </c>
      <c r="K214" s="377"/>
      <c r="L214" s="1"/>
      <c r="M214" s="2"/>
      <c r="N214" s="19">
        <v>8.5</v>
      </c>
      <c r="O214" s="22" t="str">
        <f t="shared" si="7"/>
        <v/>
      </c>
      <c r="P214" s="21" t="s">
        <v>236</v>
      </c>
      <c r="Q214" s="375" t="s">
        <v>224</v>
      </c>
      <c r="R214" s="375"/>
      <c r="S214" s="375"/>
      <c r="T214" s="93"/>
      <c r="U214" s="11"/>
      <c r="V214" s="337">
        <v>6</v>
      </c>
      <c r="W214" s="372" t="str">
        <f>IF(OR(G214="Collectors",G214="Special Pricing",G214="Boutique",G214="leafjoy littles™",G214="Premium"),
    IF(V214&gt;0,"Show","Hide"),
    IF(V214 &gt;= _xlfn.XLOOKUP(F214,'Min table'!C$3:C$5,),"Show","Hide")
)</f>
        <v>Show</v>
      </c>
      <c r="X214" s="317" t="s">
        <v>1969</v>
      </c>
      <c r="Y214" s="317" t="s">
        <v>254</v>
      </c>
    </row>
    <row r="215" spans="3:27" ht="18.75" x14ac:dyDescent="0.3">
      <c r="C215" s="322"/>
      <c r="D215" s="9"/>
      <c r="E215" s="9"/>
      <c r="F215" s="21" t="s">
        <v>75</v>
      </c>
      <c r="G215" s="20" t="s">
        <v>942</v>
      </c>
      <c r="H215" s="377" t="s">
        <v>256</v>
      </c>
      <c r="I215" s="377"/>
      <c r="J215" s="377" t="s">
        <v>257</v>
      </c>
      <c r="K215" s="377"/>
      <c r="L215" s="1"/>
      <c r="M215" s="2"/>
      <c r="N215" s="19">
        <v>11.5</v>
      </c>
      <c r="O215" s="22" t="str">
        <f t="shared" si="7"/>
        <v/>
      </c>
      <c r="P215" s="21" t="s">
        <v>80</v>
      </c>
      <c r="Q215" s="375" t="s">
        <v>242</v>
      </c>
      <c r="R215" s="375"/>
      <c r="S215" s="375"/>
      <c r="T215" s="106"/>
      <c r="U215" s="11"/>
      <c r="V215" s="337">
        <v>114</v>
      </c>
      <c r="W215" s="372" t="str">
        <f>IF(OR(G215="Collectors",G215="Special Pricing",G215="Boutique",G215="leafjoy littles™",G215="Premium"),
    IF(V215&gt;0,"Show","Hide"),
    IF(V215 &gt;= _xlfn.XLOOKUP(F215,'Min table'!C$3:C$5,),"Show","Hide")
)</f>
        <v>Show</v>
      </c>
      <c r="X215" s="317" t="s">
        <v>1970</v>
      </c>
      <c r="Y215" s="317" t="s">
        <v>256</v>
      </c>
    </row>
    <row r="216" spans="3:27" ht="18.75" hidden="1" x14ac:dyDescent="0.3">
      <c r="C216" s="322"/>
      <c r="D216" s="9"/>
      <c r="E216" s="9"/>
      <c r="F216" s="21" t="s">
        <v>75</v>
      </c>
      <c r="G216" s="20" t="s">
        <v>1728</v>
      </c>
      <c r="H216" s="377" t="s">
        <v>258</v>
      </c>
      <c r="I216" s="377"/>
      <c r="J216" s="377" t="s">
        <v>259</v>
      </c>
      <c r="K216" s="377"/>
      <c r="L216" s="1"/>
      <c r="M216" s="2"/>
      <c r="N216" s="19">
        <v>75</v>
      </c>
      <c r="O216" s="22" t="str">
        <f t="shared" si="7"/>
        <v/>
      </c>
      <c r="P216" s="21" t="s">
        <v>260</v>
      </c>
      <c r="Q216" s="439" t="s">
        <v>72</v>
      </c>
      <c r="R216" s="439"/>
      <c r="S216" s="439"/>
      <c r="T216" s="104"/>
      <c r="U216" s="11"/>
      <c r="V216" s="337">
        <v>49</v>
      </c>
      <c r="W216" s="372" t="str">
        <f>IF(OR(G216="Collectors",G216="Special Pricing",G216="Boutique",G216="leafjoy littles™",G216="Premium"),
    IF(V216&gt;0,"Show","Hide"),
    IF(V216 &gt;= _xlfn.XLOOKUP(F216,'Min table'!C$3:C$5,),"Show","Hide")
)</f>
        <v>Show</v>
      </c>
      <c r="X216" s="317" t="s">
        <v>1971</v>
      </c>
      <c r="Y216" s="317" t="s">
        <v>258</v>
      </c>
    </row>
    <row r="217" spans="3:27" ht="18.75" hidden="1" x14ac:dyDescent="0.3">
      <c r="C217" s="322"/>
      <c r="D217" s="9"/>
      <c r="E217" s="9"/>
      <c r="F217" s="21" t="s">
        <v>75</v>
      </c>
      <c r="G217" s="20" t="s">
        <v>1728</v>
      </c>
      <c r="H217" s="377" t="s">
        <v>261</v>
      </c>
      <c r="I217" s="377"/>
      <c r="J217" s="377" t="s">
        <v>262</v>
      </c>
      <c r="K217" s="377"/>
      <c r="L217" s="1"/>
      <c r="M217" s="2"/>
      <c r="N217" s="19">
        <v>150</v>
      </c>
      <c r="O217" s="22" t="str">
        <f t="shared" si="7"/>
        <v/>
      </c>
      <c r="P217" s="21" t="s">
        <v>76</v>
      </c>
      <c r="Q217" s="439" t="s">
        <v>72</v>
      </c>
      <c r="R217" s="439"/>
      <c r="S217" s="439"/>
      <c r="T217" s="92"/>
      <c r="U217" s="11"/>
      <c r="V217" s="337">
        <v>0</v>
      </c>
      <c r="W217" s="372" t="str">
        <f>IF(OR(G217="Collectors",G217="Special Pricing",G217="Boutique",G217="leafjoy littles™",G217="Premium"),
    IF(V217&gt;0,"Show","Hide"),
    IF(V217 &gt;= _xlfn.XLOOKUP(F217,'Min table'!C$3:C$5,),"Show","Hide")
)</f>
        <v>Hide</v>
      </c>
      <c r="X217" s="317" t="s">
        <v>1972</v>
      </c>
      <c r="Y217" s="317" t="s">
        <v>261</v>
      </c>
    </row>
    <row r="218" spans="3:27" ht="18.75" hidden="1" x14ac:dyDescent="0.3">
      <c r="C218" s="322"/>
      <c r="D218" s="9"/>
      <c r="E218" s="9"/>
      <c r="F218" s="21" t="s">
        <v>75</v>
      </c>
      <c r="G218" s="20" t="s">
        <v>1728</v>
      </c>
      <c r="H218" s="377" t="s">
        <v>263</v>
      </c>
      <c r="I218" s="377"/>
      <c r="J218" s="377" t="s">
        <v>264</v>
      </c>
      <c r="K218" s="377"/>
      <c r="L218" s="1"/>
      <c r="M218" s="2"/>
      <c r="N218" s="19">
        <v>150</v>
      </c>
      <c r="O218" s="22" t="str">
        <f t="shared" si="7"/>
        <v/>
      </c>
      <c r="P218" s="20" t="s">
        <v>76</v>
      </c>
      <c r="Q218" s="439" t="s">
        <v>72</v>
      </c>
      <c r="R218" s="439"/>
      <c r="S218" s="439"/>
      <c r="T218" s="92"/>
      <c r="U218" s="11"/>
      <c r="V218" s="337">
        <v>0</v>
      </c>
      <c r="W218" s="372" t="str">
        <f>IF(OR(G218="Collectors",G218="Special Pricing",G218="Boutique",G218="leafjoy littles™",G218="Premium"),
    IF(V218&gt;0,"Show","Hide"),
    IF(V218 &gt;= _xlfn.XLOOKUP(F218,'Min table'!C$3:C$5,),"Show","Hide")
)</f>
        <v>Hide</v>
      </c>
      <c r="X218" s="317" t="s">
        <v>1973</v>
      </c>
      <c r="Y218" s="317" t="s">
        <v>263</v>
      </c>
      <c r="Z218" s="338"/>
      <c r="AA218" s="338"/>
    </row>
    <row r="219" spans="3:27" ht="18.75" hidden="1" x14ac:dyDescent="0.3">
      <c r="C219" s="322"/>
      <c r="D219" s="9"/>
      <c r="E219" s="9"/>
      <c r="F219" s="21" t="s">
        <v>75</v>
      </c>
      <c r="G219" s="20" t="s">
        <v>1728</v>
      </c>
      <c r="H219" s="377" t="s">
        <v>265</v>
      </c>
      <c r="I219" s="377"/>
      <c r="J219" s="377" t="s">
        <v>266</v>
      </c>
      <c r="K219" s="377"/>
      <c r="L219" s="1"/>
      <c r="M219" s="2"/>
      <c r="N219" s="19">
        <v>150</v>
      </c>
      <c r="O219" s="22" t="str">
        <f t="shared" si="7"/>
        <v/>
      </c>
      <c r="P219" s="21" t="s">
        <v>76</v>
      </c>
      <c r="Q219" s="439" t="s">
        <v>72</v>
      </c>
      <c r="R219" s="439"/>
      <c r="S219" s="439"/>
      <c r="T219" s="92"/>
      <c r="U219" s="11"/>
      <c r="V219" s="337">
        <v>0</v>
      </c>
      <c r="W219" s="372" t="str">
        <f>IF(OR(G219="Collectors",G219="Special Pricing",G219="Boutique",G219="leafjoy littles™",G219="Premium"),
    IF(V219&gt;0,"Show","Hide"),
    IF(V219 &gt;= _xlfn.XLOOKUP(F219,'Min table'!C$3:C$5,),"Show","Hide")
)</f>
        <v>Hide</v>
      </c>
      <c r="X219" s="317" t="s">
        <v>1974</v>
      </c>
      <c r="Y219" s="317" t="s">
        <v>265</v>
      </c>
      <c r="Z219" s="338"/>
      <c r="AA219" s="338"/>
    </row>
    <row r="220" spans="3:27" ht="18.75" hidden="1" x14ac:dyDescent="0.3">
      <c r="C220" s="322"/>
      <c r="D220" s="9"/>
      <c r="E220" s="9"/>
      <c r="F220" s="21" t="s">
        <v>75</v>
      </c>
      <c r="G220" s="20" t="s">
        <v>1728</v>
      </c>
      <c r="H220" s="377" t="s">
        <v>267</v>
      </c>
      <c r="I220" s="377"/>
      <c r="J220" s="377" t="s">
        <v>268</v>
      </c>
      <c r="K220" s="377"/>
      <c r="L220" s="1"/>
      <c r="M220" s="2"/>
      <c r="N220" s="19">
        <v>150</v>
      </c>
      <c r="O220" s="22" t="str">
        <f t="shared" si="7"/>
        <v/>
      </c>
      <c r="P220" s="20" t="s">
        <v>76</v>
      </c>
      <c r="Q220" s="439" t="s">
        <v>72</v>
      </c>
      <c r="R220" s="439"/>
      <c r="S220" s="439"/>
      <c r="T220" s="92"/>
      <c r="U220" s="11"/>
      <c r="V220" s="337">
        <v>0</v>
      </c>
      <c r="W220" s="372" t="str">
        <f>IF(OR(G220="Collectors",G220="Special Pricing",G220="Boutique",G220="leafjoy littles™",G220="Premium"),
    IF(V220&gt;0,"Show","Hide"),
    IF(V220 &gt;= _xlfn.XLOOKUP(F220,'Min table'!C$3:C$5,),"Show","Hide")
)</f>
        <v>Hide</v>
      </c>
      <c r="X220" s="317" t="s">
        <v>1975</v>
      </c>
      <c r="Y220" s="317" t="s">
        <v>267</v>
      </c>
      <c r="Z220" s="338"/>
      <c r="AA220" s="338"/>
    </row>
    <row r="221" spans="3:27" ht="18.75" hidden="1" x14ac:dyDescent="0.3">
      <c r="C221" s="322"/>
      <c r="D221" s="9"/>
      <c r="E221" s="9"/>
      <c r="F221" s="21" t="s">
        <v>75</v>
      </c>
      <c r="G221" s="20" t="s">
        <v>1728</v>
      </c>
      <c r="H221" s="377" t="s">
        <v>269</v>
      </c>
      <c r="I221" s="377"/>
      <c r="J221" s="377" t="s">
        <v>270</v>
      </c>
      <c r="K221" s="377"/>
      <c r="L221" s="1"/>
      <c r="M221" s="2"/>
      <c r="N221" s="19">
        <v>150</v>
      </c>
      <c r="O221" s="22" t="str">
        <f t="shared" si="7"/>
        <v/>
      </c>
      <c r="P221" s="20" t="s">
        <v>76</v>
      </c>
      <c r="Q221" s="439" t="s">
        <v>72</v>
      </c>
      <c r="R221" s="439"/>
      <c r="S221" s="439"/>
      <c r="T221" s="104"/>
      <c r="U221" s="11"/>
      <c r="V221" s="337">
        <v>6</v>
      </c>
      <c r="W221" s="372" t="str">
        <f>IF(OR(G221="Collectors",G221="Special Pricing",G221="Boutique",G221="leafjoy littles™",G221="Premium"),
    IF(V221&gt;0,"Show","Hide"),
    IF(V221 &gt;= _xlfn.XLOOKUP(F221,'Min table'!C$3:C$5,),"Show","Hide")
)</f>
        <v>Show</v>
      </c>
      <c r="X221" s="317" t="s">
        <v>1976</v>
      </c>
      <c r="Y221" s="317" t="s">
        <v>269</v>
      </c>
      <c r="Z221" s="338"/>
      <c r="AA221" s="338"/>
    </row>
    <row r="222" spans="3:27" ht="18.75" hidden="1" x14ac:dyDescent="0.3">
      <c r="C222" s="322"/>
      <c r="D222" s="9"/>
      <c r="E222" s="9"/>
      <c r="F222" s="21" t="s">
        <v>75</v>
      </c>
      <c r="G222" s="20" t="s">
        <v>1728</v>
      </c>
      <c r="H222" s="377" t="s">
        <v>271</v>
      </c>
      <c r="I222" s="377"/>
      <c r="J222" s="377" t="s">
        <v>272</v>
      </c>
      <c r="K222" s="377"/>
      <c r="L222" s="1"/>
      <c r="M222" s="2"/>
      <c r="N222" s="19">
        <v>150</v>
      </c>
      <c r="O222" s="22" t="str">
        <f t="shared" si="7"/>
        <v/>
      </c>
      <c r="P222" s="20" t="s">
        <v>76</v>
      </c>
      <c r="Q222" s="439" t="s">
        <v>72</v>
      </c>
      <c r="R222" s="439"/>
      <c r="S222" s="439"/>
      <c r="T222" s="92"/>
      <c r="U222" s="11"/>
      <c r="V222" s="337">
        <v>0</v>
      </c>
      <c r="W222" s="372" t="str">
        <f>IF(OR(G222="Collectors",G222="Special Pricing",G222="Boutique",G222="leafjoy littles™",G222="Premium"),
    IF(V222&gt;0,"Show","Hide"),
    IF(V222 &gt;= _xlfn.XLOOKUP(F222,'Min table'!C$3:C$5,),"Show","Hide")
)</f>
        <v>Hide</v>
      </c>
      <c r="X222" s="317" t="s">
        <v>1977</v>
      </c>
      <c r="Y222" s="317" t="s">
        <v>271</v>
      </c>
      <c r="Z222" s="338"/>
      <c r="AA222" s="338"/>
    </row>
    <row r="223" spans="3:27" ht="18.75" hidden="1" x14ac:dyDescent="0.3">
      <c r="C223" s="322"/>
      <c r="D223" s="9"/>
      <c r="E223" s="9"/>
      <c r="F223" s="21" t="s">
        <v>75</v>
      </c>
      <c r="G223" s="20" t="s">
        <v>1728</v>
      </c>
      <c r="H223" s="377" t="s">
        <v>273</v>
      </c>
      <c r="I223" s="377"/>
      <c r="J223" s="377" t="s">
        <v>274</v>
      </c>
      <c r="K223" s="377"/>
      <c r="L223" s="1"/>
      <c r="M223" s="2"/>
      <c r="N223" s="19">
        <v>150</v>
      </c>
      <c r="O223" s="22" t="str">
        <f t="shared" si="7"/>
        <v/>
      </c>
      <c r="P223" s="20" t="s">
        <v>76</v>
      </c>
      <c r="Q223" s="439" t="s">
        <v>72</v>
      </c>
      <c r="R223" s="439"/>
      <c r="S223" s="439"/>
      <c r="T223" s="92"/>
      <c r="U223" s="11"/>
      <c r="V223" s="337">
        <v>0</v>
      </c>
      <c r="W223" s="372" t="str">
        <f>IF(OR(G223="Collectors",G223="Special Pricing",G223="Boutique",G223="leafjoy littles™",G223="Premium"),
    IF(V223&gt;0,"Show","Hide"),
    IF(V223 &gt;= _xlfn.XLOOKUP(F223,'Min table'!C$3:C$5,),"Show","Hide")
)</f>
        <v>Hide</v>
      </c>
      <c r="X223" s="317" t="s">
        <v>1978</v>
      </c>
      <c r="Y223" s="317" t="s">
        <v>273</v>
      </c>
      <c r="Z223" s="338"/>
      <c r="AA223" s="338"/>
    </row>
    <row r="224" spans="3:27" ht="18.75" hidden="1" x14ac:dyDescent="0.3">
      <c r="C224" s="322"/>
      <c r="D224" s="9"/>
      <c r="E224" s="9"/>
      <c r="F224" s="21" t="s">
        <v>75</v>
      </c>
      <c r="G224" s="20" t="s">
        <v>1728</v>
      </c>
      <c r="H224" s="377" t="s">
        <v>275</v>
      </c>
      <c r="I224" s="377"/>
      <c r="J224" s="377" t="s">
        <v>276</v>
      </c>
      <c r="K224" s="377"/>
      <c r="L224" s="1"/>
      <c r="M224" s="2"/>
      <c r="N224" s="19">
        <v>150</v>
      </c>
      <c r="O224" s="22" t="str">
        <f t="shared" si="7"/>
        <v/>
      </c>
      <c r="P224" s="20" t="s">
        <v>76</v>
      </c>
      <c r="Q224" s="439" t="s">
        <v>72</v>
      </c>
      <c r="R224" s="439"/>
      <c r="S224" s="439"/>
      <c r="T224" s="92"/>
      <c r="U224" s="11"/>
      <c r="V224" s="337">
        <v>0</v>
      </c>
      <c r="W224" s="372" t="str">
        <f>IF(OR(G224="Collectors",G224="Special Pricing",G224="Boutique",G224="leafjoy littles™",G224="Premium"),
    IF(V224&gt;0,"Show","Hide"),
    IF(V224 &gt;= _xlfn.XLOOKUP(F224,'Min table'!C$3:C$5,),"Show","Hide")
)</f>
        <v>Hide</v>
      </c>
      <c r="X224" s="317" t="s">
        <v>1979</v>
      </c>
      <c r="Y224" s="317" t="s">
        <v>275</v>
      </c>
      <c r="Z224" s="338"/>
      <c r="AA224" s="338"/>
    </row>
    <row r="225" spans="3:27" ht="18.75" hidden="1" x14ac:dyDescent="0.3">
      <c r="C225" s="322"/>
      <c r="D225" s="9"/>
      <c r="E225" s="9"/>
      <c r="F225" s="21" t="s">
        <v>75</v>
      </c>
      <c r="G225" s="20" t="s">
        <v>1728</v>
      </c>
      <c r="H225" s="377" t="s">
        <v>277</v>
      </c>
      <c r="I225" s="377"/>
      <c r="J225" s="377" t="s">
        <v>278</v>
      </c>
      <c r="K225" s="377"/>
      <c r="L225" s="1"/>
      <c r="M225" s="2"/>
      <c r="N225" s="19">
        <v>150</v>
      </c>
      <c r="O225" s="22" t="str">
        <f t="shared" si="7"/>
        <v/>
      </c>
      <c r="P225" s="20" t="s">
        <v>76</v>
      </c>
      <c r="Q225" s="439" t="s">
        <v>72</v>
      </c>
      <c r="R225" s="439"/>
      <c r="S225" s="439"/>
      <c r="T225" s="92"/>
      <c r="U225" s="11"/>
      <c r="V225" s="337">
        <v>0</v>
      </c>
      <c r="W225" s="372" t="str">
        <f>IF(OR(G225="Collectors",G225="Special Pricing",G225="Boutique",G225="leafjoy littles™",G225="Premium"),
    IF(V225&gt;0,"Show","Hide"),
    IF(V225 &gt;= _xlfn.XLOOKUP(F225,'Min table'!C$3:C$5,),"Show","Hide")
)</f>
        <v>Hide</v>
      </c>
      <c r="X225" s="317" t="s">
        <v>1980</v>
      </c>
      <c r="Y225" s="317" t="s">
        <v>277</v>
      </c>
      <c r="Z225" s="338"/>
      <c r="AA225" s="338"/>
    </row>
    <row r="226" spans="3:27" ht="18.75" hidden="1" x14ac:dyDescent="0.3">
      <c r="C226" s="322"/>
      <c r="D226" s="9"/>
      <c r="E226" s="9"/>
      <c r="F226" s="21" t="s">
        <v>75</v>
      </c>
      <c r="G226" s="20" t="s">
        <v>1728</v>
      </c>
      <c r="H226" s="377" t="s">
        <v>279</v>
      </c>
      <c r="I226" s="377"/>
      <c r="J226" s="377" t="s">
        <v>280</v>
      </c>
      <c r="K226" s="377"/>
      <c r="L226" s="1"/>
      <c r="M226" s="2"/>
      <c r="N226" s="19">
        <v>150</v>
      </c>
      <c r="O226" s="22" t="str">
        <f t="shared" si="7"/>
        <v/>
      </c>
      <c r="P226" s="20" t="s">
        <v>76</v>
      </c>
      <c r="Q226" s="439" t="s">
        <v>72</v>
      </c>
      <c r="R226" s="439"/>
      <c r="S226" s="439"/>
      <c r="T226" s="92"/>
      <c r="U226" s="11"/>
      <c r="V226" s="337">
        <v>0</v>
      </c>
      <c r="W226" s="372" t="str">
        <f>IF(OR(G226="Collectors",G226="Special Pricing",G226="Boutique",G226="leafjoy littles™",G226="Premium"),
    IF(V226&gt;0,"Show","Hide"),
    IF(V226 &gt;= _xlfn.XLOOKUP(F226,'Min table'!C$3:C$5,),"Show","Hide")
)</f>
        <v>Hide</v>
      </c>
      <c r="X226" s="317" t="s">
        <v>1981</v>
      </c>
      <c r="Y226" s="317" t="s">
        <v>279</v>
      </c>
      <c r="Z226" s="338"/>
      <c r="AA226" s="338"/>
    </row>
    <row r="227" spans="3:27" ht="18.75" hidden="1" x14ac:dyDescent="0.3">
      <c r="C227" s="322"/>
      <c r="D227" s="9"/>
      <c r="E227" s="9"/>
      <c r="F227" s="21" t="s">
        <v>75</v>
      </c>
      <c r="G227" s="20" t="s">
        <v>1728</v>
      </c>
      <c r="H227" s="377" t="s">
        <v>281</v>
      </c>
      <c r="I227" s="377"/>
      <c r="J227" s="377" t="s">
        <v>282</v>
      </c>
      <c r="K227" s="377"/>
      <c r="L227" s="1"/>
      <c r="M227" s="2"/>
      <c r="N227" s="19">
        <v>150</v>
      </c>
      <c r="O227" s="22" t="str">
        <f t="shared" si="7"/>
        <v/>
      </c>
      <c r="P227" s="20" t="s">
        <v>76</v>
      </c>
      <c r="Q227" s="439" t="s">
        <v>72</v>
      </c>
      <c r="R227" s="439"/>
      <c r="S227" s="439"/>
      <c r="T227" s="92"/>
      <c r="U227" s="11"/>
      <c r="V227" s="337">
        <v>0</v>
      </c>
      <c r="W227" s="372" t="str">
        <f>IF(OR(G227="Collectors",G227="Special Pricing",G227="Boutique",G227="leafjoy littles™",G227="Premium"),
    IF(V227&gt;0,"Show","Hide"),
    IF(V227 &gt;= _xlfn.XLOOKUP(F227,'Min table'!C$3:C$5,),"Show","Hide")
)</f>
        <v>Hide</v>
      </c>
      <c r="X227" s="317" t="s">
        <v>1982</v>
      </c>
      <c r="Y227" s="317" t="s">
        <v>281</v>
      </c>
      <c r="Z227" s="338"/>
      <c r="AA227" s="338"/>
    </row>
    <row r="228" spans="3:27" ht="18.75" hidden="1" x14ac:dyDescent="0.3">
      <c r="C228" s="322"/>
      <c r="D228" s="9"/>
      <c r="E228" s="9"/>
      <c r="F228" s="21" t="s">
        <v>75</v>
      </c>
      <c r="G228" s="20" t="s">
        <v>1728</v>
      </c>
      <c r="H228" s="377" t="s">
        <v>283</v>
      </c>
      <c r="I228" s="377"/>
      <c r="J228" s="377" t="s">
        <v>284</v>
      </c>
      <c r="K228" s="377"/>
      <c r="L228" s="1"/>
      <c r="M228" s="2"/>
      <c r="N228" s="19">
        <v>150</v>
      </c>
      <c r="O228" s="22" t="str">
        <f t="shared" si="7"/>
        <v/>
      </c>
      <c r="P228" s="20" t="s">
        <v>76</v>
      </c>
      <c r="Q228" s="439" t="s">
        <v>72</v>
      </c>
      <c r="R228" s="439"/>
      <c r="S228" s="439"/>
      <c r="T228" s="92"/>
      <c r="U228" s="11"/>
      <c r="V228" s="337">
        <v>0</v>
      </c>
      <c r="W228" s="372" t="str">
        <f>IF(OR(G228="Collectors",G228="Special Pricing",G228="Boutique",G228="leafjoy littles™",G228="Premium"),
    IF(V228&gt;0,"Show","Hide"),
    IF(V228 &gt;= _xlfn.XLOOKUP(F228,'Min table'!C$3:C$5,),"Show","Hide")
)</f>
        <v>Hide</v>
      </c>
      <c r="X228" s="317" t="s">
        <v>1983</v>
      </c>
      <c r="Y228" s="317" t="s">
        <v>283</v>
      </c>
      <c r="Z228" s="338"/>
      <c r="AA228" s="338"/>
    </row>
    <row r="229" spans="3:27" ht="18.75" hidden="1" x14ac:dyDescent="0.3">
      <c r="C229" s="322"/>
      <c r="D229" s="9"/>
      <c r="E229" s="9"/>
      <c r="F229" s="21" t="s">
        <v>75</v>
      </c>
      <c r="G229" s="20" t="s">
        <v>1728</v>
      </c>
      <c r="H229" s="377" t="s">
        <v>2245</v>
      </c>
      <c r="I229" s="377"/>
      <c r="J229" s="377"/>
      <c r="K229" s="377"/>
      <c r="L229" s="1"/>
      <c r="M229" s="2"/>
      <c r="N229" s="19">
        <v>150</v>
      </c>
      <c r="O229" s="22" t="str">
        <f t="shared" si="7"/>
        <v/>
      </c>
      <c r="P229" s="20" t="s">
        <v>76</v>
      </c>
      <c r="Q229" s="439" t="s">
        <v>72</v>
      </c>
      <c r="R229" s="439"/>
      <c r="S229" s="439"/>
      <c r="T229" s="104"/>
      <c r="U229" s="11"/>
      <c r="V229" s="337">
        <v>14</v>
      </c>
      <c r="W229" s="372" t="str">
        <f>IF(OR(G229="Collectors",G229="Special Pricing",G229="Boutique",G229="leafjoy littles™",G229="Premium"),
    IF(V229&gt;0,"Show","Hide"),
    IF(V229 &gt;= _xlfn.XLOOKUP(F229,'Min table'!C$3:C$5,),"Show","Hide")
)</f>
        <v>Show</v>
      </c>
      <c r="Z229" s="338"/>
      <c r="AA229" s="338"/>
    </row>
    <row r="230" spans="3:27" ht="18.75" hidden="1" x14ac:dyDescent="0.3">
      <c r="C230" s="322"/>
      <c r="D230" s="9"/>
      <c r="E230" s="9"/>
      <c r="F230" s="21" t="s">
        <v>75</v>
      </c>
      <c r="G230" s="20" t="s">
        <v>1728</v>
      </c>
      <c r="H230" s="377" t="s">
        <v>285</v>
      </c>
      <c r="I230" s="377"/>
      <c r="J230" s="377" t="s">
        <v>286</v>
      </c>
      <c r="K230" s="377"/>
      <c r="L230" s="1"/>
      <c r="M230" s="2"/>
      <c r="N230" s="19">
        <v>150</v>
      </c>
      <c r="O230" s="22" t="str">
        <f t="shared" si="7"/>
        <v/>
      </c>
      <c r="P230" s="20" t="s">
        <v>76</v>
      </c>
      <c r="Q230" s="439" t="s">
        <v>72</v>
      </c>
      <c r="R230" s="439"/>
      <c r="S230" s="439"/>
      <c r="T230" s="92"/>
      <c r="U230" s="11"/>
      <c r="V230" s="337">
        <v>0</v>
      </c>
      <c r="W230" s="372" t="str">
        <f>IF(OR(G230="Collectors",G230="Special Pricing",G230="Boutique",G230="leafjoy littles™",G230="Premium"),
    IF(V230&gt;0,"Show","Hide"),
    IF(V230 &gt;= _xlfn.XLOOKUP(F230,'Min table'!C$3:C$5,),"Show","Hide")
)</f>
        <v>Hide</v>
      </c>
      <c r="X230" s="317" t="s">
        <v>1984</v>
      </c>
      <c r="Y230" s="317" t="s">
        <v>285</v>
      </c>
      <c r="Z230" s="338"/>
      <c r="AA230" s="338"/>
    </row>
    <row r="231" spans="3:27" ht="18.75" hidden="1" x14ac:dyDescent="0.3">
      <c r="C231" s="322"/>
      <c r="D231" s="9"/>
      <c r="E231" s="9"/>
      <c r="F231" s="21" t="s">
        <v>75</v>
      </c>
      <c r="G231" s="20" t="s">
        <v>1728</v>
      </c>
      <c r="H231" s="377" t="s">
        <v>287</v>
      </c>
      <c r="I231" s="377"/>
      <c r="J231" s="377" t="s">
        <v>288</v>
      </c>
      <c r="K231" s="377"/>
      <c r="L231" s="1"/>
      <c r="M231" s="2"/>
      <c r="N231" s="19">
        <v>150</v>
      </c>
      <c r="O231" s="22" t="str">
        <f t="shared" si="7"/>
        <v/>
      </c>
      <c r="P231" s="20" t="s">
        <v>76</v>
      </c>
      <c r="Q231" s="439" t="s">
        <v>72</v>
      </c>
      <c r="R231" s="439"/>
      <c r="S231" s="439"/>
      <c r="T231" s="92"/>
      <c r="U231" s="11"/>
      <c r="V231" s="337">
        <v>0</v>
      </c>
      <c r="W231" s="372" t="str">
        <f>IF(OR(G231="Collectors",G231="Special Pricing",G231="Boutique",G231="leafjoy littles™",G231="Premium"),
    IF(V231&gt;0,"Show","Hide"),
    IF(V231 &gt;= _xlfn.XLOOKUP(F231,'Min table'!C$3:C$5,),"Show","Hide")
)</f>
        <v>Hide</v>
      </c>
      <c r="X231" s="317" t="s">
        <v>1985</v>
      </c>
      <c r="Y231" s="317" t="s">
        <v>287</v>
      </c>
      <c r="Z231" s="338"/>
      <c r="AA231" s="338"/>
    </row>
    <row r="232" spans="3:27" ht="18.75" hidden="1" x14ac:dyDescent="0.3">
      <c r="C232" s="322"/>
      <c r="D232" s="9"/>
      <c r="E232" s="9"/>
      <c r="F232" s="21" t="s">
        <v>75</v>
      </c>
      <c r="G232" s="20" t="s">
        <v>1728</v>
      </c>
      <c r="H232" s="377" t="s">
        <v>289</v>
      </c>
      <c r="I232" s="377"/>
      <c r="J232" s="377" t="s">
        <v>290</v>
      </c>
      <c r="K232" s="377"/>
      <c r="L232" s="1"/>
      <c r="M232" s="2"/>
      <c r="N232" s="19">
        <v>150</v>
      </c>
      <c r="O232" s="22" t="str">
        <f t="shared" si="7"/>
        <v/>
      </c>
      <c r="P232" s="20" t="s">
        <v>76</v>
      </c>
      <c r="Q232" s="439" t="s">
        <v>72</v>
      </c>
      <c r="R232" s="439"/>
      <c r="S232" s="439"/>
      <c r="T232" s="92"/>
      <c r="U232" s="11"/>
      <c r="V232" s="337">
        <v>0</v>
      </c>
      <c r="W232" s="372" t="str">
        <f>IF(OR(G232="Collectors",G232="Special Pricing",G232="Boutique",G232="leafjoy littles™",G232="Premium"),
    IF(V232&gt;0,"Show","Hide"),
    IF(V232 &gt;= _xlfn.XLOOKUP(F232,'Min table'!C$3:C$5,),"Show","Hide")
)</f>
        <v>Hide</v>
      </c>
      <c r="X232" s="317" t="s">
        <v>1986</v>
      </c>
      <c r="Y232" s="317" t="s">
        <v>289</v>
      </c>
      <c r="Z232" s="338"/>
      <c r="AA232" s="338"/>
    </row>
    <row r="233" spans="3:27" ht="18.75" hidden="1" x14ac:dyDescent="0.3">
      <c r="C233" s="322"/>
      <c r="D233" s="9"/>
      <c r="E233" s="9"/>
      <c r="F233" s="21" t="s">
        <v>75</v>
      </c>
      <c r="G233" s="20" t="s">
        <v>1728</v>
      </c>
      <c r="H233" s="377" t="s">
        <v>291</v>
      </c>
      <c r="I233" s="377"/>
      <c r="J233" s="377" t="s">
        <v>292</v>
      </c>
      <c r="K233" s="377"/>
      <c r="L233" s="1"/>
      <c r="M233" s="2"/>
      <c r="N233" s="19">
        <v>150</v>
      </c>
      <c r="O233" s="22" t="str">
        <f t="shared" si="7"/>
        <v/>
      </c>
      <c r="P233" s="20" t="s">
        <v>76</v>
      </c>
      <c r="Q233" s="439" t="s">
        <v>72</v>
      </c>
      <c r="R233" s="439"/>
      <c r="S233" s="439"/>
      <c r="T233" s="92"/>
      <c r="U233" s="11"/>
      <c r="V233" s="337">
        <v>1</v>
      </c>
      <c r="W233" s="372" t="str">
        <f>IF(OR(G233="Collectors",G233="Special Pricing",G233="Boutique",G233="leafjoy littles™",G233="Premium"),
    IF(V233&gt;0,"Show","Hide"),
    IF(V233 &gt;= _xlfn.XLOOKUP(F233,'Min table'!C$3:C$5,),"Show","Hide")
)</f>
        <v>Show</v>
      </c>
      <c r="X233" s="317" t="s">
        <v>1987</v>
      </c>
      <c r="Y233" s="317" t="s">
        <v>291</v>
      </c>
      <c r="Z233" s="338"/>
      <c r="AA233" s="338"/>
    </row>
    <row r="234" spans="3:27" ht="18.75" hidden="1" x14ac:dyDescent="0.3">
      <c r="C234" s="322"/>
      <c r="D234" s="9"/>
      <c r="E234" s="9"/>
      <c r="F234" s="21" t="s">
        <v>75</v>
      </c>
      <c r="G234" s="20" t="s">
        <v>1728</v>
      </c>
      <c r="H234" s="377" t="s">
        <v>293</v>
      </c>
      <c r="I234" s="377"/>
      <c r="J234" s="377" t="s">
        <v>294</v>
      </c>
      <c r="K234" s="377"/>
      <c r="L234" s="1"/>
      <c r="M234" s="2"/>
      <c r="N234" s="19">
        <v>150</v>
      </c>
      <c r="O234" s="22" t="str">
        <f t="shared" si="7"/>
        <v/>
      </c>
      <c r="P234" s="20" t="s">
        <v>76</v>
      </c>
      <c r="Q234" s="439" t="s">
        <v>72</v>
      </c>
      <c r="R234" s="439"/>
      <c r="S234" s="439"/>
      <c r="T234" s="92"/>
      <c r="U234" s="11"/>
      <c r="V234" s="337">
        <v>0</v>
      </c>
      <c r="W234" s="372" t="str">
        <f>IF(OR(G234="Collectors",G234="Special Pricing",G234="Boutique",G234="leafjoy littles™",G234="Premium"),
    IF(V234&gt;0,"Show","Hide"),
    IF(V234 &gt;= _xlfn.XLOOKUP(F234,'Min table'!C$3:C$5,),"Show","Hide")
)</f>
        <v>Hide</v>
      </c>
      <c r="X234" s="317" t="s">
        <v>1988</v>
      </c>
      <c r="Y234" s="317" t="s">
        <v>293</v>
      </c>
      <c r="Z234" s="338"/>
      <c r="AA234" s="338"/>
    </row>
    <row r="235" spans="3:27" ht="18.75" hidden="1" x14ac:dyDescent="0.3">
      <c r="C235" s="322"/>
      <c r="D235" s="9"/>
      <c r="E235" s="9"/>
      <c r="F235" s="21" t="s">
        <v>75</v>
      </c>
      <c r="G235" s="20" t="s">
        <v>1728</v>
      </c>
      <c r="H235" s="377" t="s">
        <v>295</v>
      </c>
      <c r="I235" s="377"/>
      <c r="J235" s="377" t="s">
        <v>296</v>
      </c>
      <c r="K235" s="377"/>
      <c r="L235" s="1"/>
      <c r="M235" s="2"/>
      <c r="N235" s="19">
        <v>150</v>
      </c>
      <c r="O235" s="22" t="str">
        <f t="shared" si="7"/>
        <v/>
      </c>
      <c r="P235" s="20" t="s">
        <v>76</v>
      </c>
      <c r="Q235" s="439" t="s">
        <v>72</v>
      </c>
      <c r="R235" s="439"/>
      <c r="S235" s="439"/>
      <c r="T235" s="92"/>
      <c r="U235" s="11"/>
      <c r="V235" s="337">
        <v>0</v>
      </c>
      <c r="W235" s="372" t="str">
        <f>IF(OR(G235="Collectors",G235="Special Pricing",G235="Boutique",G235="leafjoy littles™",G235="Premium"),
    IF(V235&gt;0,"Show","Hide"),
    IF(V235 &gt;= _xlfn.XLOOKUP(F235,'Min table'!C$3:C$5,),"Show","Hide")
)</f>
        <v>Hide</v>
      </c>
      <c r="X235" s="317" t="s">
        <v>1989</v>
      </c>
      <c r="Y235" s="317" t="s">
        <v>295</v>
      </c>
      <c r="Z235" s="338"/>
      <c r="AA235" s="338"/>
    </row>
    <row r="236" spans="3:27" ht="18.75" hidden="1" x14ac:dyDescent="0.3">
      <c r="C236" s="322"/>
      <c r="D236" s="9"/>
      <c r="E236" s="9"/>
      <c r="F236" s="21" t="s">
        <v>75</v>
      </c>
      <c r="G236" s="20" t="s">
        <v>1728</v>
      </c>
      <c r="H236" s="377" t="s">
        <v>297</v>
      </c>
      <c r="I236" s="377"/>
      <c r="J236" s="377" t="s">
        <v>298</v>
      </c>
      <c r="K236" s="377"/>
      <c r="L236" s="1"/>
      <c r="M236" s="2"/>
      <c r="N236" s="19">
        <v>150</v>
      </c>
      <c r="O236" s="22" t="str">
        <f t="shared" si="7"/>
        <v/>
      </c>
      <c r="P236" s="20" t="s">
        <v>76</v>
      </c>
      <c r="Q236" s="439" t="s">
        <v>72</v>
      </c>
      <c r="R236" s="439"/>
      <c r="S236" s="439"/>
      <c r="T236" s="92"/>
      <c r="U236" s="11"/>
      <c r="V236" s="337">
        <v>0</v>
      </c>
      <c r="W236" s="372" t="str">
        <f>IF(OR(G236="Collectors",G236="Special Pricing",G236="Boutique",G236="leafjoy littles™",G236="Premium"),
    IF(V236&gt;0,"Show","Hide"),
    IF(V236 &gt;= _xlfn.XLOOKUP(F236,'Min table'!C$3:C$5,),"Show","Hide")
)</f>
        <v>Hide</v>
      </c>
      <c r="X236" s="317" t="s">
        <v>1990</v>
      </c>
      <c r="Y236" s="317" t="s">
        <v>297</v>
      </c>
      <c r="Z236" s="338"/>
      <c r="AA236" s="338"/>
    </row>
    <row r="237" spans="3:27" ht="18.75" hidden="1" x14ac:dyDescent="0.3">
      <c r="C237" s="322"/>
      <c r="D237" s="9"/>
      <c r="E237" s="9"/>
      <c r="F237" s="21" t="s">
        <v>75</v>
      </c>
      <c r="G237" s="20" t="s">
        <v>1728</v>
      </c>
      <c r="H237" s="377" t="s">
        <v>2246</v>
      </c>
      <c r="I237" s="377"/>
      <c r="J237" s="377"/>
      <c r="K237" s="377"/>
      <c r="L237" s="1"/>
      <c r="M237" s="2"/>
      <c r="N237" s="19">
        <v>150</v>
      </c>
      <c r="O237" s="22" t="str">
        <f t="shared" si="7"/>
        <v/>
      </c>
      <c r="P237" s="20" t="s">
        <v>76</v>
      </c>
      <c r="Q237" s="439" t="s">
        <v>72</v>
      </c>
      <c r="R237" s="439"/>
      <c r="S237" s="439"/>
      <c r="T237" s="104"/>
      <c r="U237" s="11"/>
      <c r="V237" s="337">
        <v>10</v>
      </c>
      <c r="W237" s="372" t="str">
        <f>IF(OR(G237="Collectors",G237="Special Pricing",G237="Boutique",G237="leafjoy littles™",G237="Premium"),
    IF(V237&gt;0,"Show","Hide"),
    IF(V237 &gt;= _xlfn.XLOOKUP(F237,'Min table'!C$3:C$5,),"Show","Hide")
)</f>
        <v>Show</v>
      </c>
      <c r="Z237" s="338"/>
      <c r="AA237" s="338"/>
    </row>
    <row r="238" spans="3:27" ht="18.75" hidden="1" x14ac:dyDescent="0.3">
      <c r="C238" s="322"/>
      <c r="D238" s="9"/>
      <c r="E238" s="9"/>
      <c r="F238" s="21" t="s">
        <v>75</v>
      </c>
      <c r="G238" s="20" t="s">
        <v>1728</v>
      </c>
      <c r="H238" s="377" t="s">
        <v>299</v>
      </c>
      <c r="I238" s="377"/>
      <c r="J238" s="377" t="s">
        <v>300</v>
      </c>
      <c r="K238" s="377"/>
      <c r="L238" s="1"/>
      <c r="M238" s="2"/>
      <c r="N238" s="19">
        <v>150</v>
      </c>
      <c r="O238" s="22" t="str">
        <f t="shared" si="7"/>
        <v/>
      </c>
      <c r="P238" s="20" t="s">
        <v>76</v>
      </c>
      <c r="Q238" s="439" t="s">
        <v>72</v>
      </c>
      <c r="R238" s="439"/>
      <c r="S238" s="439"/>
      <c r="T238" s="92"/>
      <c r="U238" s="11"/>
      <c r="V238" s="337">
        <v>0</v>
      </c>
      <c r="W238" s="372" t="str">
        <f>IF(OR(G238="Collectors",G238="Special Pricing",G238="Boutique",G238="leafjoy littles™",G238="Premium"),
    IF(V238&gt;0,"Show","Hide"),
    IF(V238 &gt;= _xlfn.XLOOKUP(F238,'Min table'!C$3:C$5,),"Show","Hide")
)</f>
        <v>Hide</v>
      </c>
      <c r="X238" s="317" t="s">
        <v>1991</v>
      </c>
      <c r="Y238" s="317" t="s">
        <v>299</v>
      </c>
      <c r="Z238" s="338"/>
      <c r="AA238" s="338"/>
    </row>
    <row r="239" spans="3:27" ht="18.75" hidden="1" x14ac:dyDescent="0.3">
      <c r="C239" s="322"/>
      <c r="D239" s="9"/>
      <c r="E239" s="9"/>
      <c r="F239" s="21" t="s">
        <v>75</v>
      </c>
      <c r="G239" s="20" t="s">
        <v>1728</v>
      </c>
      <c r="H239" s="377" t="s">
        <v>301</v>
      </c>
      <c r="I239" s="377"/>
      <c r="J239" s="377" t="s">
        <v>302</v>
      </c>
      <c r="K239" s="377"/>
      <c r="L239" s="1"/>
      <c r="M239" s="2"/>
      <c r="N239" s="19">
        <v>150</v>
      </c>
      <c r="O239" s="22" t="str">
        <f t="shared" si="7"/>
        <v/>
      </c>
      <c r="P239" s="20" t="s">
        <v>76</v>
      </c>
      <c r="Q239" s="439" t="s">
        <v>72</v>
      </c>
      <c r="R239" s="439"/>
      <c r="S239" s="439"/>
      <c r="T239" s="92"/>
      <c r="U239" s="11"/>
      <c r="V239" s="337">
        <v>0</v>
      </c>
      <c r="W239" s="372" t="str">
        <f>IF(OR(G239="Collectors",G239="Special Pricing",G239="Boutique",G239="leafjoy littles™",G239="Premium"),
    IF(V239&gt;0,"Show","Hide"),
    IF(V239 &gt;= _xlfn.XLOOKUP(F239,'Min table'!C$3:C$5,),"Show","Hide")
)</f>
        <v>Hide</v>
      </c>
      <c r="X239" s="317" t="s">
        <v>1992</v>
      </c>
      <c r="Y239" s="317" t="s">
        <v>301</v>
      </c>
      <c r="Z239" s="338"/>
      <c r="AA239" s="338"/>
    </row>
    <row r="240" spans="3:27" ht="18.75" hidden="1" x14ac:dyDescent="0.3">
      <c r="C240" s="322"/>
      <c r="D240" s="9"/>
      <c r="E240" s="9"/>
      <c r="F240" s="21" t="s">
        <v>75</v>
      </c>
      <c r="G240" s="20" t="s">
        <v>1728</v>
      </c>
      <c r="H240" s="377" t="s">
        <v>303</v>
      </c>
      <c r="I240" s="377"/>
      <c r="J240" s="377" t="s">
        <v>304</v>
      </c>
      <c r="K240" s="377"/>
      <c r="L240" s="1"/>
      <c r="M240" s="2"/>
      <c r="N240" s="19">
        <v>150</v>
      </c>
      <c r="O240" s="22" t="str">
        <f t="shared" si="7"/>
        <v/>
      </c>
      <c r="P240" s="20" t="s">
        <v>76</v>
      </c>
      <c r="Q240" s="439" t="s">
        <v>72</v>
      </c>
      <c r="R240" s="439"/>
      <c r="S240" s="439"/>
      <c r="T240" s="92"/>
      <c r="U240" s="11"/>
      <c r="V240" s="337">
        <v>0</v>
      </c>
      <c r="W240" s="372" t="str">
        <f>IF(OR(G240="Collectors",G240="Special Pricing",G240="Boutique",G240="leafjoy littles™",G240="Premium"),
    IF(V240&gt;0,"Show","Hide"),
    IF(V240 &gt;= _xlfn.XLOOKUP(F240,'Min table'!C$3:C$5,),"Show","Hide")
)</f>
        <v>Hide</v>
      </c>
      <c r="X240" s="317" t="s">
        <v>1993</v>
      </c>
      <c r="Y240" s="317" t="s">
        <v>303</v>
      </c>
      <c r="Z240" s="338"/>
      <c r="AA240" s="338"/>
    </row>
    <row r="241" spans="3:27" ht="18.75" hidden="1" x14ac:dyDescent="0.3">
      <c r="C241" s="322"/>
      <c r="D241" s="9"/>
      <c r="E241" s="9"/>
      <c r="F241" s="21" t="s">
        <v>75</v>
      </c>
      <c r="G241" s="20" t="s">
        <v>1728</v>
      </c>
      <c r="H241" s="377" t="s">
        <v>305</v>
      </c>
      <c r="I241" s="377"/>
      <c r="J241" s="377" t="s">
        <v>306</v>
      </c>
      <c r="K241" s="377"/>
      <c r="L241" s="1"/>
      <c r="M241" s="2"/>
      <c r="N241" s="19">
        <v>150</v>
      </c>
      <c r="O241" s="22" t="str">
        <f t="shared" si="7"/>
        <v/>
      </c>
      <c r="P241" s="20" t="s">
        <v>76</v>
      </c>
      <c r="Q241" s="439" t="s">
        <v>72</v>
      </c>
      <c r="R241" s="439"/>
      <c r="S241" s="439"/>
      <c r="T241" s="92"/>
      <c r="U241" s="11"/>
      <c r="V241" s="337">
        <v>0</v>
      </c>
      <c r="W241" s="372" t="str">
        <f>IF(OR(G241="Collectors",G241="Special Pricing",G241="Boutique",G241="leafjoy littles™",G241="Premium"),
    IF(V241&gt;0,"Show","Hide"),
    IF(V241 &gt;= _xlfn.XLOOKUP(F241,'Min table'!C$3:C$5,),"Show","Hide")
)</f>
        <v>Hide</v>
      </c>
      <c r="X241" s="317" t="s">
        <v>1994</v>
      </c>
      <c r="Y241" s="317" t="s">
        <v>305</v>
      </c>
      <c r="Z241" s="338"/>
      <c r="AA241" s="338"/>
    </row>
    <row r="242" spans="3:27" ht="18.75" hidden="1" x14ac:dyDescent="0.3">
      <c r="C242" s="322"/>
      <c r="D242" s="9"/>
      <c r="E242" s="9"/>
      <c r="F242" s="21" t="s">
        <v>75</v>
      </c>
      <c r="G242" s="20" t="s">
        <v>1728</v>
      </c>
      <c r="H242" s="377" t="s">
        <v>307</v>
      </c>
      <c r="I242" s="377"/>
      <c r="J242" s="377" t="s">
        <v>308</v>
      </c>
      <c r="K242" s="377"/>
      <c r="L242" s="1"/>
      <c r="M242" s="2"/>
      <c r="N242" s="19">
        <v>150</v>
      </c>
      <c r="O242" s="22" t="str">
        <f t="shared" si="7"/>
        <v/>
      </c>
      <c r="P242" s="20" t="s">
        <v>76</v>
      </c>
      <c r="Q242" s="439" t="s">
        <v>72</v>
      </c>
      <c r="R242" s="439"/>
      <c r="S242" s="439"/>
      <c r="T242" s="92"/>
      <c r="U242" s="11"/>
      <c r="V242" s="337">
        <v>0</v>
      </c>
      <c r="W242" s="372" t="str">
        <f>IF(OR(G242="Collectors",G242="Special Pricing",G242="Boutique",G242="leafjoy littles™",G242="Premium"),
    IF(V242&gt;0,"Show","Hide"),
    IF(V242 &gt;= _xlfn.XLOOKUP(F242,'Min table'!C$3:C$5,),"Show","Hide")
)</f>
        <v>Hide</v>
      </c>
      <c r="X242" s="317" t="s">
        <v>1995</v>
      </c>
      <c r="Y242" s="317" t="s">
        <v>307</v>
      </c>
      <c r="Z242" s="338"/>
      <c r="AA242" s="338"/>
    </row>
    <row r="243" spans="3:27" ht="18.75" hidden="1" x14ac:dyDescent="0.3">
      <c r="C243" s="322"/>
      <c r="D243" s="9"/>
      <c r="E243" s="9"/>
      <c r="F243" s="21" t="s">
        <v>75</v>
      </c>
      <c r="G243" s="20" t="s">
        <v>1728</v>
      </c>
      <c r="H243" s="377" t="s">
        <v>309</v>
      </c>
      <c r="I243" s="377"/>
      <c r="J243" s="377" t="s">
        <v>310</v>
      </c>
      <c r="K243" s="377"/>
      <c r="L243" s="1"/>
      <c r="M243" s="2"/>
      <c r="N243" s="19">
        <v>150</v>
      </c>
      <c r="O243" s="22" t="str">
        <f t="shared" si="7"/>
        <v/>
      </c>
      <c r="P243" s="20" t="s">
        <v>76</v>
      </c>
      <c r="Q243" s="439" t="s">
        <v>72</v>
      </c>
      <c r="R243" s="439"/>
      <c r="S243" s="439"/>
      <c r="T243" s="92"/>
      <c r="U243" s="11"/>
      <c r="V243" s="337">
        <v>0</v>
      </c>
      <c r="W243" s="372" t="str">
        <f>IF(OR(G243="Collectors",G243="Special Pricing",G243="Boutique",G243="leafjoy littles™",G243="Premium"),
    IF(V243&gt;0,"Show","Hide"),
    IF(V243 &gt;= _xlfn.XLOOKUP(F243,'Min table'!C$3:C$5,),"Show","Hide")
)</f>
        <v>Hide</v>
      </c>
      <c r="X243" s="317" t="s">
        <v>1996</v>
      </c>
      <c r="Y243" s="317" t="s">
        <v>309</v>
      </c>
      <c r="Z243" s="338"/>
      <c r="AA243" s="338"/>
    </row>
    <row r="244" spans="3:27" ht="18.75" hidden="1" x14ac:dyDescent="0.3">
      <c r="C244" s="322"/>
      <c r="D244" s="9"/>
      <c r="E244" s="9"/>
      <c r="F244" s="21" t="s">
        <v>75</v>
      </c>
      <c r="G244" s="20" t="s">
        <v>1728</v>
      </c>
      <c r="H244" s="377" t="s">
        <v>1850</v>
      </c>
      <c r="I244" s="377"/>
      <c r="J244" s="377" t="s">
        <v>311</v>
      </c>
      <c r="K244" s="377"/>
      <c r="L244" s="1"/>
      <c r="M244" s="2"/>
      <c r="N244" s="19">
        <v>150</v>
      </c>
      <c r="O244" s="22" t="str">
        <f t="shared" si="7"/>
        <v/>
      </c>
      <c r="P244" s="20" t="s">
        <v>76</v>
      </c>
      <c r="Q244" s="439" t="s">
        <v>72</v>
      </c>
      <c r="R244" s="439"/>
      <c r="S244" s="439"/>
      <c r="T244" s="92"/>
      <c r="U244" s="11"/>
      <c r="V244" s="337">
        <v>3</v>
      </c>
      <c r="W244" s="372" t="str">
        <f>IF(OR(G244="Collectors",G244="Special Pricing",G244="Boutique",G244="leafjoy littles™",G244="Premium"),
    IF(V244&gt;0,"Show","Hide"),
    IF(V244 &gt;= _xlfn.XLOOKUP(F244,'Min table'!C$3:C$5,),"Show","Hide")
)</f>
        <v>Show</v>
      </c>
      <c r="X244" s="317" t="s">
        <v>1997</v>
      </c>
      <c r="Y244" s="317" t="s">
        <v>312</v>
      </c>
      <c r="Z244" s="338"/>
      <c r="AA244" s="338"/>
    </row>
    <row r="245" spans="3:27" ht="18.75" hidden="1" x14ac:dyDescent="0.3">
      <c r="C245" s="322"/>
      <c r="D245" s="9"/>
      <c r="E245" s="9"/>
      <c r="F245" s="21" t="s">
        <v>75</v>
      </c>
      <c r="G245" s="20" t="s">
        <v>1728</v>
      </c>
      <c r="H245" s="377" t="s">
        <v>313</v>
      </c>
      <c r="I245" s="377"/>
      <c r="J245" s="377" t="s">
        <v>314</v>
      </c>
      <c r="K245" s="377"/>
      <c r="L245" s="1"/>
      <c r="M245" s="2"/>
      <c r="N245" s="19">
        <v>150</v>
      </c>
      <c r="O245" s="22" t="str">
        <f t="shared" si="7"/>
        <v/>
      </c>
      <c r="P245" s="20" t="s">
        <v>76</v>
      </c>
      <c r="Q245" s="439" t="s">
        <v>72</v>
      </c>
      <c r="R245" s="439"/>
      <c r="S245" s="439"/>
      <c r="T245" s="92"/>
      <c r="U245" s="11"/>
      <c r="V245" s="337">
        <v>0</v>
      </c>
      <c r="W245" s="372" t="str">
        <f>IF(OR(G245="Collectors",G245="Special Pricing",G245="Boutique",G245="leafjoy littles™",G245="Premium"),
    IF(V245&gt;0,"Show","Hide"),
    IF(V245 &gt;= _xlfn.XLOOKUP(F245,'Min table'!C$3:C$5,),"Show","Hide")
)</f>
        <v>Hide</v>
      </c>
      <c r="X245" s="317" t="s">
        <v>1998</v>
      </c>
      <c r="Y245" s="317" t="s">
        <v>313</v>
      </c>
      <c r="Z245" s="338"/>
      <c r="AA245" s="338"/>
    </row>
    <row r="246" spans="3:27" ht="18.75" hidden="1" x14ac:dyDescent="0.3">
      <c r="C246" s="322"/>
      <c r="D246" s="9"/>
      <c r="E246" s="9"/>
      <c r="F246" s="21" t="s">
        <v>75</v>
      </c>
      <c r="G246" s="20" t="s">
        <v>1728</v>
      </c>
      <c r="H246" s="377" t="s">
        <v>315</v>
      </c>
      <c r="I246" s="377"/>
      <c r="J246" s="377" t="s">
        <v>316</v>
      </c>
      <c r="K246" s="377"/>
      <c r="L246" s="1"/>
      <c r="M246" s="2"/>
      <c r="N246" s="19">
        <v>150</v>
      </c>
      <c r="O246" s="22" t="str">
        <f t="shared" si="7"/>
        <v/>
      </c>
      <c r="P246" s="20" t="s">
        <v>76</v>
      </c>
      <c r="Q246" s="439" t="s">
        <v>72</v>
      </c>
      <c r="R246" s="439"/>
      <c r="S246" s="439"/>
      <c r="T246" s="92"/>
      <c r="U246" s="11"/>
      <c r="V246" s="337">
        <v>2</v>
      </c>
      <c r="W246" s="372" t="str">
        <f>IF(OR(G246="Collectors",G246="Special Pricing",G246="Boutique",G246="leafjoy littles™",G246="Premium"),
    IF(V246&gt;0,"Show","Hide"),
    IF(V246 &gt;= _xlfn.XLOOKUP(F246,'Min table'!C$3:C$5,),"Show","Hide")
)</f>
        <v>Show</v>
      </c>
      <c r="X246" s="317" t="s">
        <v>1999</v>
      </c>
      <c r="Y246" s="317" t="s">
        <v>315</v>
      </c>
      <c r="Z246" s="338"/>
      <c r="AA246" s="338"/>
    </row>
    <row r="247" spans="3:27" ht="18.75" hidden="1" x14ac:dyDescent="0.3">
      <c r="C247" s="322"/>
      <c r="D247" s="9"/>
      <c r="E247" s="9"/>
      <c r="F247" s="21" t="s">
        <v>75</v>
      </c>
      <c r="G247" s="20" t="s">
        <v>1728</v>
      </c>
      <c r="H247" s="377" t="s">
        <v>317</v>
      </c>
      <c r="I247" s="377"/>
      <c r="J247" s="377" t="s">
        <v>318</v>
      </c>
      <c r="K247" s="377"/>
      <c r="L247" s="1"/>
      <c r="M247" s="2"/>
      <c r="N247" s="19">
        <v>150</v>
      </c>
      <c r="O247" s="22" t="str">
        <f t="shared" si="7"/>
        <v/>
      </c>
      <c r="P247" s="20" t="s">
        <v>76</v>
      </c>
      <c r="Q247" s="439" t="s">
        <v>72</v>
      </c>
      <c r="R247" s="439"/>
      <c r="S247" s="439"/>
      <c r="T247" s="92"/>
      <c r="U247" s="11"/>
      <c r="V247" s="337">
        <v>0</v>
      </c>
      <c r="W247" s="372" t="str">
        <f>IF(OR(G247="Collectors",G247="Special Pricing",G247="Boutique",G247="leafjoy littles™",G247="Premium"),
    IF(V247&gt;0,"Show","Hide"),
    IF(V247 &gt;= _xlfn.XLOOKUP(F247,'Min table'!C$3:C$5,),"Show","Hide")
)</f>
        <v>Hide</v>
      </c>
      <c r="X247" s="317" t="s">
        <v>2000</v>
      </c>
      <c r="Y247" s="317" t="s">
        <v>317</v>
      </c>
      <c r="Z247" s="338"/>
      <c r="AA247" s="338"/>
    </row>
    <row r="248" spans="3:27" ht="18.75" hidden="1" x14ac:dyDescent="0.3">
      <c r="C248" s="322"/>
      <c r="D248" s="9"/>
      <c r="E248" s="9"/>
      <c r="F248" s="21" t="s">
        <v>75</v>
      </c>
      <c r="G248" s="20" t="s">
        <v>1728</v>
      </c>
      <c r="H248" s="377" t="s">
        <v>319</v>
      </c>
      <c r="I248" s="377"/>
      <c r="J248" s="377" t="s">
        <v>320</v>
      </c>
      <c r="K248" s="377"/>
      <c r="L248" s="1"/>
      <c r="M248" s="2"/>
      <c r="N248" s="19">
        <v>150</v>
      </c>
      <c r="O248" s="22" t="str">
        <f t="shared" si="7"/>
        <v/>
      </c>
      <c r="P248" s="20" t="s">
        <v>76</v>
      </c>
      <c r="Q248" s="439" t="s">
        <v>72</v>
      </c>
      <c r="R248" s="439"/>
      <c r="S248" s="439"/>
      <c r="T248" s="92"/>
      <c r="U248" s="11"/>
      <c r="V248" s="337">
        <v>0</v>
      </c>
      <c r="W248" s="372" t="str">
        <f>IF(OR(G248="Collectors",G248="Special Pricing",G248="Boutique",G248="leafjoy littles™",G248="Premium"),
    IF(V248&gt;0,"Show","Hide"),
    IF(V248 &gt;= _xlfn.XLOOKUP(F248,'Min table'!C$3:C$5,),"Show","Hide")
)</f>
        <v>Hide</v>
      </c>
      <c r="X248" s="317" t="s">
        <v>2001</v>
      </c>
      <c r="Y248" s="317" t="s">
        <v>319</v>
      </c>
      <c r="Z248" s="338"/>
      <c r="AA248" s="338"/>
    </row>
    <row r="249" spans="3:27" ht="18.75" hidden="1" x14ac:dyDescent="0.3">
      <c r="C249" s="322"/>
      <c r="D249" s="9"/>
      <c r="E249" s="9"/>
      <c r="F249" s="21" t="s">
        <v>75</v>
      </c>
      <c r="G249" s="20" t="s">
        <v>1728</v>
      </c>
      <c r="H249" s="377" t="s">
        <v>321</v>
      </c>
      <c r="I249" s="377"/>
      <c r="J249" s="377" t="s">
        <v>322</v>
      </c>
      <c r="K249" s="377"/>
      <c r="L249" s="1"/>
      <c r="M249" s="2"/>
      <c r="N249" s="19">
        <v>150</v>
      </c>
      <c r="O249" s="22" t="str">
        <f t="shared" si="7"/>
        <v/>
      </c>
      <c r="P249" s="20" t="s">
        <v>76</v>
      </c>
      <c r="Q249" s="439" t="s">
        <v>72</v>
      </c>
      <c r="R249" s="439"/>
      <c r="S249" s="439"/>
      <c r="T249" s="92"/>
      <c r="U249" s="11"/>
      <c r="V249" s="337">
        <v>0</v>
      </c>
      <c r="W249" s="372" t="str">
        <f>IF(OR(G249="Collectors",G249="Special Pricing",G249="Boutique",G249="leafjoy littles™",G249="Premium"),
    IF(V249&gt;0,"Show","Hide"),
    IF(V249 &gt;= _xlfn.XLOOKUP(F249,'Min table'!C$3:C$5,),"Show","Hide")
)</f>
        <v>Hide</v>
      </c>
      <c r="X249" s="317" t="s">
        <v>2002</v>
      </c>
      <c r="Y249" s="317" t="s">
        <v>321</v>
      </c>
      <c r="Z249" s="338"/>
      <c r="AA249" s="338"/>
    </row>
    <row r="250" spans="3:27" ht="18.75" hidden="1" x14ac:dyDescent="0.3">
      <c r="C250" s="322"/>
      <c r="D250" s="9"/>
      <c r="E250" s="9"/>
      <c r="F250" s="21" t="s">
        <v>75</v>
      </c>
      <c r="G250" s="20" t="s">
        <v>1728</v>
      </c>
      <c r="H250" s="377" t="s">
        <v>323</v>
      </c>
      <c r="I250" s="377"/>
      <c r="J250" s="377" t="s">
        <v>324</v>
      </c>
      <c r="K250" s="377"/>
      <c r="L250" s="1"/>
      <c r="M250" s="2"/>
      <c r="N250" s="19">
        <v>150</v>
      </c>
      <c r="O250" s="22" t="str">
        <f t="shared" si="7"/>
        <v/>
      </c>
      <c r="P250" s="20" t="s">
        <v>76</v>
      </c>
      <c r="Q250" s="439" t="s">
        <v>72</v>
      </c>
      <c r="R250" s="439"/>
      <c r="S250" s="439"/>
      <c r="T250" s="92"/>
      <c r="U250" s="11"/>
      <c r="V250" s="337">
        <v>0</v>
      </c>
      <c r="W250" s="372" t="str">
        <f>IF(OR(G250="Collectors",G250="Special Pricing",G250="Boutique",G250="leafjoy littles™",G250="Premium"),
    IF(V250&gt;0,"Show","Hide"),
    IF(V250 &gt;= _xlfn.XLOOKUP(F250,'Min table'!C$3:C$5,),"Show","Hide")
)</f>
        <v>Hide</v>
      </c>
      <c r="X250" s="317" t="s">
        <v>2003</v>
      </c>
      <c r="Y250" s="317" t="s">
        <v>323</v>
      </c>
      <c r="Z250" s="338"/>
      <c r="AA250" s="338"/>
    </row>
    <row r="251" spans="3:27" ht="18.75" hidden="1" x14ac:dyDescent="0.3">
      <c r="C251" s="322"/>
      <c r="D251" s="9"/>
      <c r="E251" s="9"/>
      <c r="F251" s="21" t="s">
        <v>75</v>
      </c>
      <c r="G251" s="20" t="s">
        <v>1728</v>
      </c>
      <c r="H251" s="377" t="s">
        <v>325</v>
      </c>
      <c r="I251" s="377"/>
      <c r="J251" s="377" t="s">
        <v>326</v>
      </c>
      <c r="K251" s="377"/>
      <c r="L251" s="1"/>
      <c r="M251" s="2"/>
      <c r="N251" s="19">
        <v>150</v>
      </c>
      <c r="O251" s="22" t="str">
        <f t="shared" si="7"/>
        <v/>
      </c>
      <c r="P251" s="20" t="s">
        <v>76</v>
      </c>
      <c r="Q251" s="439" t="s">
        <v>72</v>
      </c>
      <c r="R251" s="439"/>
      <c r="S251" s="439"/>
      <c r="T251" s="92"/>
      <c r="U251" s="11"/>
      <c r="V251" s="337">
        <v>0</v>
      </c>
      <c r="W251" s="372" t="str">
        <f>IF(OR(G251="Collectors",G251="Special Pricing",G251="Boutique",G251="leafjoy littles™",G251="Premium"),
    IF(V251&gt;0,"Show","Hide"),
    IF(V251 &gt;= _xlfn.XLOOKUP(F251,'Min table'!C$3:C$5,),"Show","Hide")
)</f>
        <v>Hide</v>
      </c>
      <c r="X251" s="317" t="s">
        <v>2004</v>
      </c>
      <c r="Y251" s="317" t="s">
        <v>325</v>
      </c>
      <c r="Z251" s="338"/>
      <c r="AA251" s="338"/>
    </row>
    <row r="252" spans="3:27" ht="18.75" hidden="1" x14ac:dyDescent="0.3">
      <c r="C252" s="322"/>
      <c r="D252" s="9"/>
      <c r="E252" s="9"/>
      <c r="F252" s="21" t="s">
        <v>75</v>
      </c>
      <c r="G252" s="20" t="s">
        <v>1728</v>
      </c>
      <c r="H252" s="377" t="s">
        <v>327</v>
      </c>
      <c r="I252" s="377"/>
      <c r="J252" s="377" t="s">
        <v>328</v>
      </c>
      <c r="K252" s="377"/>
      <c r="L252" s="1"/>
      <c r="M252" s="2"/>
      <c r="N252" s="19">
        <v>150</v>
      </c>
      <c r="O252" s="22" t="str">
        <f t="shared" si="7"/>
        <v/>
      </c>
      <c r="P252" s="20" t="s">
        <v>76</v>
      </c>
      <c r="Q252" s="439" t="s">
        <v>72</v>
      </c>
      <c r="R252" s="439"/>
      <c r="S252" s="439"/>
      <c r="T252" s="92"/>
      <c r="U252" s="11"/>
      <c r="V252" s="337">
        <v>0</v>
      </c>
      <c r="W252" s="372" t="str">
        <f>IF(OR(G252="Collectors",G252="Special Pricing",G252="Boutique",G252="leafjoy littles™",G252="Premium"),
    IF(V252&gt;0,"Show","Hide"),
    IF(V252 &gt;= _xlfn.XLOOKUP(F252,'Min table'!C$3:C$5,),"Show","Hide")
)</f>
        <v>Hide</v>
      </c>
      <c r="X252" s="317" t="s">
        <v>2005</v>
      </c>
      <c r="Y252" s="317" t="s">
        <v>327</v>
      </c>
      <c r="Z252" s="338"/>
      <c r="AA252" s="338"/>
    </row>
    <row r="253" spans="3:27" ht="18.75" hidden="1" x14ac:dyDescent="0.3">
      <c r="C253" s="322"/>
      <c r="D253" s="9"/>
      <c r="E253" s="9"/>
      <c r="F253" s="21" t="s">
        <v>75</v>
      </c>
      <c r="G253" s="20" t="s">
        <v>1728</v>
      </c>
      <c r="H253" s="377" t="s">
        <v>329</v>
      </c>
      <c r="I253" s="377"/>
      <c r="J253" s="377" t="s">
        <v>330</v>
      </c>
      <c r="K253" s="377"/>
      <c r="L253" s="1"/>
      <c r="M253" s="2"/>
      <c r="N253" s="19">
        <v>150</v>
      </c>
      <c r="O253" s="22" t="str">
        <f t="shared" si="7"/>
        <v/>
      </c>
      <c r="P253" s="20" t="s">
        <v>76</v>
      </c>
      <c r="Q253" s="439" t="s">
        <v>72</v>
      </c>
      <c r="R253" s="439"/>
      <c r="S253" s="439"/>
      <c r="T253" s="92"/>
      <c r="U253" s="11"/>
      <c r="V253" s="337">
        <v>0</v>
      </c>
      <c r="W253" s="372" t="str">
        <f>IF(OR(G253="Collectors",G253="Special Pricing",G253="Boutique",G253="leafjoy littles™",G253="Premium"),
    IF(V253&gt;0,"Show","Hide"),
    IF(V253 &gt;= _xlfn.XLOOKUP(F253,'Min table'!C$3:C$5,),"Show","Hide")
)</f>
        <v>Hide</v>
      </c>
      <c r="X253" s="317" t="s">
        <v>2006</v>
      </c>
      <c r="Y253" s="317" t="s">
        <v>329</v>
      </c>
      <c r="Z253" s="338"/>
      <c r="AA253" s="338"/>
    </row>
    <row r="254" spans="3:27" ht="18.75" hidden="1" x14ac:dyDescent="0.3">
      <c r="C254" s="322"/>
      <c r="D254" s="9"/>
      <c r="E254" s="9"/>
      <c r="F254" s="21" t="s">
        <v>75</v>
      </c>
      <c r="G254" s="20" t="s">
        <v>1728</v>
      </c>
      <c r="H254" s="377" t="s">
        <v>331</v>
      </c>
      <c r="I254" s="377"/>
      <c r="J254" s="377" t="s">
        <v>332</v>
      </c>
      <c r="K254" s="377"/>
      <c r="L254" s="1"/>
      <c r="M254" s="2"/>
      <c r="N254" s="19">
        <v>150</v>
      </c>
      <c r="O254" s="22" t="str">
        <f t="shared" si="7"/>
        <v/>
      </c>
      <c r="P254" s="20" t="s">
        <v>76</v>
      </c>
      <c r="Q254" s="439" t="s">
        <v>72</v>
      </c>
      <c r="R254" s="439"/>
      <c r="S254" s="439"/>
      <c r="T254" s="92"/>
      <c r="U254" s="11"/>
      <c r="V254" s="337">
        <v>0</v>
      </c>
      <c r="W254" s="372" t="str">
        <f>IF(OR(G254="Collectors",G254="Special Pricing",G254="Boutique",G254="leafjoy littles™",G254="Premium"),
    IF(V254&gt;0,"Show","Hide"),
    IF(V254 &gt;= _xlfn.XLOOKUP(F254,'Min table'!C$3:C$5,),"Show","Hide")
)</f>
        <v>Hide</v>
      </c>
      <c r="X254" s="317" t="s">
        <v>2007</v>
      </c>
      <c r="Y254" s="317" t="s">
        <v>331</v>
      </c>
      <c r="Z254" s="338"/>
      <c r="AA254" s="338"/>
    </row>
    <row r="255" spans="3:27" ht="18.75" hidden="1" x14ac:dyDescent="0.3">
      <c r="C255" s="322"/>
      <c r="D255" s="9"/>
      <c r="E255" s="9"/>
      <c r="F255" s="21" t="s">
        <v>75</v>
      </c>
      <c r="G255" s="20" t="s">
        <v>1728</v>
      </c>
      <c r="H255" s="377" t="s">
        <v>333</v>
      </c>
      <c r="I255" s="377"/>
      <c r="J255" s="377" t="s">
        <v>334</v>
      </c>
      <c r="K255" s="377"/>
      <c r="L255" s="1"/>
      <c r="M255" s="2"/>
      <c r="N255" s="19">
        <v>150</v>
      </c>
      <c r="O255" s="22" t="str">
        <f t="shared" si="7"/>
        <v/>
      </c>
      <c r="P255" s="20" t="s">
        <v>76</v>
      </c>
      <c r="Q255" s="439" t="s">
        <v>72</v>
      </c>
      <c r="R255" s="439"/>
      <c r="S255" s="439"/>
      <c r="T255" s="92"/>
      <c r="U255" s="11"/>
      <c r="V255" s="337">
        <v>0</v>
      </c>
      <c r="W255" s="372" t="str">
        <f>IF(OR(G255="Collectors",G255="Special Pricing",G255="Boutique",G255="leafjoy littles™",G255="Premium"),
    IF(V255&gt;0,"Show","Hide"),
    IF(V255 &gt;= _xlfn.XLOOKUP(F255,'Min table'!C$3:C$5,),"Show","Hide")
)</f>
        <v>Hide</v>
      </c>
      <c r="X255" s="317" t="s">
        <v>2008</v>
      </c>
      <c r="Y255" s="317" t="s">
        <v>333</v>
      </c>
      <c r="Z255" s="338"/>
      <c r="AA255" s="338"/>
    </row>
    <row r="256" spans="3:27" ht="18.75" hidden="1" x14ac:dyDescent="0.3">
      <c r="C256" s="322"/>
      <c r="D256" s="9"/>
      <c r="E256" s="9"/>
      <c r="F256" s="21" t="s">
        <v>75</v>
      </c>
      <c r="G256" s="20" t="s">
        <v>1728</v>
      </c>
      <c r="H256" s="377" t="s">
        <v>1873</v>
      </c>
      <c r="I256" s="377"/>
      <c r="J256" s="377" t="s">
        <v>334</v>
      </c>
      <c r="K256" s="377"/>
      <c r="L256" s="1"/>
      <c r="M256" s="2"/>
      <c r="N256" s="19">
        <v>150</v>
      </c>
      <c r="O256" s="22" t="str">
        <f t="shared" ref="O256" si="8">IF(AND(L256="",M256=""),"",(L256*N256)+(M256*(N256+2.25)))</f>
        <v/>
      </c>
      <c r="P256" s="20" t="s">
        <v>76</v>
      </c>
      <c r="Q256" s="439" t="s">
        <v>72</v>
      </c>
      <c r="R256" s="439"/>
      <c r="S256" s="439"/>
      <c r="T256" s="92"/>
      <c r="U256" s="11"/>
      <c r="V256" s="337">
        <v>0</v>
      </c>
      <c r="W256" s="372" t="str">
        <f>IF(OR(G256="Collectors",G256="Special Pricing",G256="Boutique",G256="leafjoy littles™",G256="Premium"),
    IF(V256&gt;0,"Show","Hide"),
    IF(V256 &gt;= _xlfn.XLOOKUP(F256,'Min table'!C$3:C$5,),"Show","Hide")
)</f>
        <v>Hide</v>
      </c>
      <c r="X256" s="317" t="s">
        <v>2009</v>
      </c>
      <c r="Y256" s="317" t="s">
        <v>1873</v>
      </c>
      <c r="Z256" s="338"/>
      <c r="AA256" s="338"/>
    </row>
    <row r="257" spans="3:27" ht="18.75" hidden="1" x14ac:dyDescent="0.3">
      <c r="C257" s="322"/>
      <c r="D257" s="9"/>
      <c r="E257" s="9"/>
      <c r="F257" s="21" t="s">
        <v>75</v>
      </c>
      <c r="G257" s="20" t="s">
        <v>945</v>
      </c>
      <c r="H257" s="377" t="s">
        <v>335</v>
      </c>
      <c r="I257" s="377"/>
      <c r="J257" s="377" t="s">
        <v>336</v>
      </c>
      <c r="K257" s="377"/>
      <c r="L257" s="1"/>
      <c r="M257" s="2"/>
      <c r="N257" s="19">
        <v>8.5</v>
      </c>
      <c r="O257" s="22" t="str">
        <f t="shared" si="7"/>
        <v/>
      </c>
      <c r="P257" s="20" t="s">
        <v>231</v>
      </c>
      <c r="Q257" s="375" t="s">
        <v>224</v>
      </c>
      <c r="R257" s="375"/>
      <c r="S257" s="375"/>
      <c r="T257" s="93"/>
      <c r="U257" s="11"/>
      <c r="V257" s="337">
        <v>0</v>
      </c>
      <c r="W257" s="372" t="str">
        <f>IF(OR(G257="Collectors",G257="Special Pricing",G257="Boutique",G257="leafjoy littles™",G257="Premium"),
    IF(V257&gt;0,"Show","Hide"),
    IF(V257 &gt;= _xlfn.XLOOKUP(F257,'Min table'!C$3:C$5,),"Show","Hide")
)</f>
        <v>Hide</v>
      </c>
      <c r="X257" s="317" t="s">
        <v>2010</v>
      </c>
      <c r="Y257" s="317" t="s">
        <v>335</v>
      </c>
      <c r="Z257" s="338"/>
      <c r="AA257" s="338"/>
    </row>
    <row r="258" spans="3:27" ht="18.75" hidden="1" x14ac:dyDescent="0.3">
      <c r="C258" s="322"/>
      <c r="D258" s="9"/>
      <c r="E258" s="9"/>
      <c r="F258" s="21" t="s">
        <v>75</v>
      </c>
      <c r="G258" s="20" t="s">
        <v>1728</v>
      </c>
      <c r="H258" s="377" t="s">
        <v>337</v>
      </c>
      <c r="I258" s="377"/>
      <c r="J258" s="377" t="s">
        <v>338</v>
      </c>
      <c r="K258" s="377"/>
      <c r="L258" s="1"/>
      <c r="M258" s="2"/>
      <c r="N258" s="19">
        <v>150</v>
      </c>
      <c r="O258" s="22" t="str">
        <f t="shared" si="7"/>
        <v/>
      </c>
      <c r="P258" s="20" t="s">
        <v>76</v>
      </c>
      <c r="Q258" s="439" t="s">
        <v>72</v>
      </c>
      <c r="R258" s="439"/>
      <c r="S258" s="439"/>
      <c r="T258" s="92"/>
      <c r="U258" s="11"/>
      <c r="V258" s="337">
        <v>1</v>
      </c>
      <c r="W258" s="372" t="str">
        <f>IF(OR(G258="Collectors",G258="Special Pricing",G258="Boutique",G258="leafjoy littles™",G258="Premium"),
    IF(V258&gt;0,"Show","Hide"),
    IF(V258 &gt;= _xlfn.XLOOKUP(F258,'Min table'!C$3:C$5,),"Show","Hide")
)</f>
        <v>Show</v>
      </c>
      <c r="X258" s="317" t="s">
        <v>2011</v>
      </c>
      <c r="Y258" s="317" t="s">
        <v>337</v>
      </c>
      <c r="Z258" s="338"/>
      <c r="AA258" s="338"/>
    </row>
    <row r="259" spans="3:27" ht="18.75" hidden="1" x14ac:dyDescent="0.3">
      <c r="C259" s="322"/>
      <c r="D259" s="9"/>
      <c r="E259" s="9"/>
      <c r="F259" s="21" t="s">
        <v>75</v>
      </c>
      <c r="G259" s="20" t="s">
        <v>991</v>
      </c>
      <c r="H259" s="377" t="s">
        <v>339</v>
      </c>
      <c r="I259" s="377"/>
      <c r="J259" s="377" t="s">
        <v>340</v>
      </c>
      <c r="K259" s="377"/>
      <c r="L259" s="1"/>
      <c r="M259" s="2"/>
      <c r="N259" s="19">
        <v>20</v>
      </c>
      <c r="O259" s="22" t="str">
        <f t="shared" si="7"/>
        <v/>
      </c>
      <c r="P259" s="20" t="s">
        <v>231</v>
      </c>
      <c r="Q259" s="375" t="s">
        <v>341</v>
      </c>
      <c r="R259" s="375"/>
      <c r="S259" s="375"/>
      <c r="T259" s="93"/>
      <c r="U259" s="11"/>
      <c r="V259" s="337">
        <v>0</v>
      </c>
      <c r="W259" s="372" t="str">
        <f>IF(OR(G259="Collectors",G259="Special Pricing",G259="Boutique",G259="leafjoy littles™",G259="Premium"),
    IF(V259&gt;0,"Show","Hide"),
    IF(V259 &gt;= _xlfn.XLOOKUP(F259,'Min table'!C$3:C$5,),"Show","Hide")
)</f>
        <v>Hide</v>
      </c>
      <c r="X259" s="317" t="s">
        <v>2012</v>
      </c>
      <c r="Y259" s="317" t="s">
        <v>339</v>
      </c>
      <c r="Z259" s="338"/>
      <c r="AA259" s="338"/>
    </row>
    <row r="260" spans="3:27" ht="18.75" x14ac:dyDescent="0.3">
      <c r="C260" s="322"/>
      <c r="D260" s="9"/>
      <c r="E260" s="9"/>
      <c r="F260" s="21" t="s">
        <v>75</v>
      </c>
      <c r="G260" s="20" t="s">
        <v>942</v>
      </c>
      <c r="H260" s="377" t="s">
        <v>342</v>
      </c>
      <c r="I260" s="377"/>
      <c r="J260" s="377" t="s">
        <v>343</v>
      </c>
      <c r="K260" s="377"/>
      <c r="L260" s="1"/>
      <c r="M260" s="2"/>
      <c r="N260" s="19">
        <v>11.5</v>
      </c>
      <c r="O260" s="22" t="str">
        <f t="shared" si="7"/>
        <v/>
      </c>
      <c r="P260" s="20" t="s">
        <v>344</v>
      </c>
      <c r="Q260" s="375" t="s">
        <v>242</v>
      </c>
      <c r="R260" s="375"/>
      <c r="S260" s="375"/>
      <c r="T260" s="106"/>
      <c r="U260" s="11"/>
      <c r="V260" s="337">
        <v>101</v>
      </c>
      <c r="W260" s="372" t="str">
        <f>IF(OR(G260="Collectors",G260="Special Pricing",G260="Boutique",G260="leafjoy littles™",G260="Premium"),
    IF(V260&gt;0,"Show","Hide"),
    IF(V260 &gt;= _xlfn.XLOOKUP(F260,'Min table'!C$3:C$5,),"Show","Hide")
)</f>
        <v>Show</v>
      </c>
      <c r="X260" s="317" t="s">
        <v>2013</v>
      </c>
      <c r="Y260" s="317" t="s">
        <v>342</v>
      </c>
      <c r="Z260" s="338"/>
      <c r="AA260" s="338"/>
    </row>
    <row r="261" spans="3:27" ht="18.75" hidden="1" x14ac:dyDescent="0.3">
      <c r="C261" s="322"/>
      <c r="D261" s="9"/>
      <c r="E261" s="9"/>
      <c r="F261" s="21" t="s">
        <v>75</v>
      </c>
      <c r="G261" s="20" t="s">
        <v>945</v>
      </c>
      <c r="H261" s="377" t="s">
        <v>345</v>
      </c>
      <c r="I261" s="377"/>
      <c r="J261" s="377" t="s">
        <v>346</v>
      </c>
      <c r="K261" s="377"/>
      <c r="L261" s="1"/>
      <c r="M261" s="2"/>
      <c r="N261" s="19">
        <v>8.5</v>
      </c>
      <c r="O261" s="22" t="str">
        <f t="shared" si="7"/>
        <v/>
      </c>
      <c r="P261" s="20" t="s">
        <v>223</v>
      </c>
      <c r="Q261" s="375" t="s">
        <v>224</v>
      </c>
      <c r="R261" s="375"/>
      <c r="S261" s="375"/>
      <c r="T261" s="106"/>
      <c r="U261" s="11"/>
      <c r="V261" s="337">
        <v>19</v>
      </c>
      <c r="W261" s="372" t="str">
        <f>IF(OR(G261="Collectors",G261="Special Pricing",G261="Boutique",G261="leafjoy littles™",G261="Premium"),
    IF(V261&gt;0,"Show","Hide"),
    IF(V261 &gt;= _xlfn.XLOOKUP(F261,'Min table'!C$3:C$5,),"Show","Hide")
)</f>
        <v>Show</v>
      </c>
      <c r="X261" s="317" t="s">
        <v>2014</v>
      </c>
      <c r="Y261" s="317" t="s">
        <v>345</v>
      </c>
      <c r="Z261" s="338"/>
      <c r="AA261" s="338"/>
    </row>
    <row r="262" spans="3:27" ht="18.75" hidden="1" x14ac:dyDescent="0.3">
      <c r="C262" s="322"/>
      <c r="D262" s="9"/>
      <c r="E262" s="9"/>
      <c r="F262" s="21" t="s">
        <v>75</v>
      </c>
      <c r="G262" s="20" t="s">
        <v>945</v>
      </c>
      <c r="H262" s="377" t="s">
        <v>347</v>
      </c>
      <c r="I262" s="377"/>
      <c r="J262" s="377" t="s">
        <v>348</v>
      </c>
      <c r="K262" s="377"/>
      <c r="L262" s="1"/>
      <c r="M262" s="2"/>
      <c r="N262" s="19">
        <v>8.5</v>
      </c>
      <c r="O262" s="22" t="str">
        <f t="shared" si="7"/>
        <v/>
      </c>
      <c r="P262" s="21" t="s">
        <v>349</v>
      </c>
      <c r="Q262" s="375" t="s">
        <v>224</v>
      </c>
      <c r="R262" s="375"/>
      <c r="S262" s="375"/>
      <c r="T262" s="93"/>
      <c r="U262" s="11"/>
      <c r="V262" s="337">
        <v>3</v>
      </c>
      <c r="W262" s="372" t="str">
        <f>IF(OR(G262="Collectors",G262="Special Pricing",G262="Boutique",G262="leafjoy littles™",G262="Premium"),
    IF(V262&gt;0,"Show","Hide"),
    IF(V262 &gt;= _xlfn.XLOOKUP(F262,'Min table'!C$3:C$5,),"Show","Hide")
)</f>
        <v>Show</v>
      </c>
      <c r="X262" s="317" t="s">
        <v>2015</v>
      </c>
      <c r="Y262" s="317" t="s">
        <v>347</v>
      </c>
      <c r="Z262" s="338"/>
      <c r="AA262" s="338"/>
    </row>
    <row r="263" spans="3:27" ht="18.75" hidden="1" x14ac:dyDescent="0.3">
      <c r="C263" s="322"/>
      <c r="D263" s="9"/>
      <c r="E263" s="9"/>
      <c r="F263" s="21" t="s">
        <v>75</v>
      </c>
      <c r="G263" s="20" t="s">
        <v>945</v>
      </c>
      <c r="H263" s="377" t="s">
        <v>350</v>
      </c>
      <c r="I263" s="377"/>
      <c r="J263" s="377" t="s">
        <v>351</v>
      </c>
      <c r="K263" s="377"/>
      <c r="L263" s="1"/>
      <c r="M263" s="2"/>
      <c r="N263" s="19">
        <v>8.5</v>
      </c>
      <c r="O263" s="22" t="str">
        <f t="shared" si="7"/>
        <v/>
      </c>
      <c r="P263" s="20" t="s">
        <v>349</v>
      </c>
      <c r="Q263" s="375" t="s">
        <v>224</v>
      </c>
      <c r="R263" s="375"/>
      <c r="S263" s="375"/>
      <c r="T263" s="93"/>
      <c r="U263" s="11"/>
      <c r="V263" s="337">
        <v>0</v>
      </c>
      <c r="W263" s="372" t="str">
        <f>IF(OR(G263="Collectors",G263="Special Pricing",G263="Boutique",G263="leafjoy littles™",G263="Premium"),
    IF(V263&gt;0,"Show","Hide"),
    IF(V263 &gt;= _xlfn.XLOOKUP(F263,'Min table'!C$3:C$5,),"Show","Hide")
)</f>
        <v>Hide</v>
      </c>
      <c r="X263" s="317" t="s">
        <v>2016</v>
      </c>
      <c r="Y263" s="317" t="s">
        <v>350</v>
      </c>
      <c r="Z263" s="338"/>
      <c r="AA263" s="338"/>
    </row>
    <row r="264" spans="3:27" ht="18.75" hidden="1" x14ac:dyDescent="0.3">
      <c r="C264" s="322"/>
      <c r="D264" s="9"/>
      <c r="E264" s="9"/>
      <c r="F264" s="21" t="s">
        <v>75</v>
      </c>
      <c r="G264" s="20" t="s">
        <v>945</v>
      </c>
      <c r="H264" s="377" t="s">
        <v>352</v>
      </c>
      <c r="I264" s="377"/>
      <c r="J264" s="377" t="s">
        <v>353</v>
      </c>
      <c r="K264" s="377"/>
      <c r="L264" s="1"/>
      <c r="M264" s="2"/>
      <c r="N264" s="19">
        <v>8.5</v>
      </c>
      <c r="O264" s="22" t="str">
        <f t="shared" si="7"/>
        <v/>
      </c>
      <c r="P264" s="20" t="s">
        <v>354</v>
      </c>
      <c r="Q264" s="375" t="s">
        <v>224</v>
      </c>
      <c r="R264" s="375"/>
      <c r="S264" s="375"/>
      <c r="T264" s="93"/>
      <c r="U264" s="11"/>
      <c r="V264" s="337">
        <v>0</v>
      </c>
      <c r="W264" s="372" t="str">
        <f>IF(OR(G264="Collectors",G264="Special Pricing",G264="Boutique",G264="leafjoy littles™",G264="Premium"),
    IF(V264&gt;0,"Show","Hide"),
    IF(V264 &gt;= _xlfn.XLOOKUP(F264,'Min table'!C$3:C$5,),"Show","Hide")
)</f>
        <v>Hide</v>
      </c>
      <c r="X264" s="317" t="s">
        <v>2017</v>
      </c>
      <c r="Y264" s="317" t="s">
        <v>352</v>
      </c>
      <c r="Z264" s="338"/>
      <c r="AA264" s="338"/>
    </row>
    <row r="265" spans="3:27" ht="18.75" hidden="1" x14ac:dyDescent="0.3">
      <c r="C265" s="322"/>
      <c r="D265" s="9"/>
      <c r="E265" s="9"/>
      <c r="F265" s="21" t="s">
        <v>75</v>
      </c>
      <c r="G265" s="20" t="s">
        <v>945</v>
      </c>
      <c r="H265" s="377" t="s">
        <v>355</v>
      </c>
      <c r="I265" s="377"/>
      <c r="J265" s="377" t="s">
        <v>356</v>
      </c>
      <c r="K265" s="377"/>
      <c r="L265" s="1"/>
      <c r="M265" s="2"/>
      <c r="N265" s="19">
        <v>8.5</v>
      </c>
      <c r="O265" s="22" t="str">
        <f t="shared" si="7"/>
        <v/>
      </c>
      <c r="P265" s="21" t="s">
        <v>236</v>
      </c>
      <c r="Q265" s="375" t="s">
        <v>224</v>
      </c>
      <c r="R265" s="375"/>
      <c r="S265" s="375"/>
      <c r="T265" s="93"/>
      <c r="U265" s="11"/>
      <c r="V265" s="337">
        <v>0</v>
      </c>
      <c r="W265" s="372" t="str">
        <f>IF(OR(G265="Collectors",G265="Special Pricing",G265="Boutique",G265="leafjoy littles™",G265="Premium"),
    IF(V265&gt;0,"Show","Hide"),
    IF(V265 &gt;= _xlfn.XLOOKUP(F265,'Min table'!C$3:C$5,),"Show","Hide")
)</f>
        <v>Hide</v>
      </c>
      <c r="X265" s="317" t="s">
        <v>2018</v>
      </c>
      <c r="Y265" s="317" t="s">
        <v>355</v>
      </c>
      <c r="Z265" s="338"/>
      <c r="AA265" s="338"/>
    </row>
    <row r="266" spans="3:27" ht="18.75" hidden="1" x14ac:dyDescent="0.3">
      <c r="C266" s="322"/>
      <c r="D266" s="9"/>
      <c r="E266" s="9"/>
      <c r="F266" s="21" t="s">
        <v>75</v>
      </c>
      <c r="G266" s="20" t="s">
        <v>945</v>
      </c>
      <c r="H266" s="377" t="s">
        <v>357</v>
      </c>
      <c r="I266" s="377"/>
      <c r="J266" s="377" t="s">
        <v>358</v>
      </c>
      <c r="K266" s="377"/>
      <c r="L266" s="1"/>
      <c r="M266" s="2"/>
      <c r="N266" s="19">
        <v>8.5</v>
      </c>
      <c r="O266" s="22" t="str">
        <f t="shared" si="7"/>
        <v/>
      </c>
      <c r="P266" s="21" t="s">
        <v>231</v>
      </c>
      <c r="Q266" s="375" t="s">
        <v>224</v>
      </c>
      <c r="R266" s="375"/>
      <c r="S266" s="375"/>
      <c r="T266" s="93"/>
      <c r="U266" s="11"/>
      <c r="V266" s="337">
        <v>12</v>
      </c>
      <c r="W266" s="372" t="str">
        <f>IF(OR(G266="Collectors",G266="Special Pricing",G266="Boutique",G266="leafjoy littles™",G266="Premium"),
    IF(V266&gt;0,"Show","Hide"),
    IF(V266 &gt;= _xlfn.XLOOKUP(F266,'Min table'!C$3:C$5,),"Show","Hide")
)</f>
        <v>Show</v>
      </c>
      <c r="X266" s="317" t="s">
        <v>2019</v>
      </c>
      <c r="Y266" s="317" t="s">
        <v>357</v>
      </c>
      <c r="Z266" s="338"/>
      <c r="AA266" s="338"/>
    </row>
    <row r="267" spans="3:27" ht="18.75" hidden="1" x14ac:dyDescent="0.3">
      <c r="C267" s="322"/>
      <c r="D267" s="9"/>
      <c r="E267" s="9"/>
      <c r="F267" s="21" t="s">
        <v>75</v>
      </c>
      <c r="G267" s="20" t="s">
        <v>945</v>
      </c>
      <c r="H267" s="377" t="s">
        <v>359</v>
      </c>
      <c r="I267" s="377"/>
      <c r="J267" s="377" t="s">
        <v>360</v>
      </c>
      <c r="K267" s="377"/>
      <c r="L267" s="1"/>
      <c r="M267" s="2"/>
      <c r="N267" s="19">
        <v>8.5</v>
      </c>
      <c r="O267" s="22" t="str">
        <f t="shared" si="7"/>
        <v/>
      </c>
      <c r="P267" s="20" t="s">
        <v>361</v>
      </c>
      <c r="Q267" s="375" t="s">
        <v>224</v>
      </c>
      <c r="R267" s="375"/>
      <c r="S267" s="375"/>
      <c r="T267" s="93"/>
      <c r="U267" s="11"/>
      <c r="V267" s="337">
        <v>0</v>
      </c>
      <c r="W267" s="372" t="str">
        <f>IF(OR(G267="Collectors",G267="Special Pricing",G267="Boutique",G267="leafjoy littles™",G267="Premium"),
    IF(V267&gt;0,"Show","Hide"),
    IF(V267 &gt;= _xlfn.XLOOKUP(F267,'Min table'!C$3:C$5,),"Show","Hide")
)</f>
        <v>Hide</v>
      </c>
      <c r="X267" s="317" t="s">
        <v>2020</v>
      </c>
      <c r="Y267" s="317" t="s">
        <v>359</v>
      </c>
      <c r="Z267" s="338"/>
      <c r="AA267" s="338"/>
    </row>
    <row r="268" spans="3:27" ht="18.75" hidden="1" x14ac:dyDescent="0.3">
      <c r="C268" s="322"/>
      <c r="D268" s="9"/>
      <c r="E268" s="9"/>
      <c r="F268" s="21" t="s">
        <v>75</v>
      </c>
      <c r="G268" s="20" t="s">
        <v>945</v>
      </c>
      <c r="H268" s="377" t="s">
        <v>362</v>
      </c>
      <c r="I268" s="377"/>
      <c r="J268" s="377" t="s">
        <v>363</v>
      </c>
      <c r="K268" s="377"/>
      <c r="L268" s="1"/>
      <c r="M268" s="2"/>
      <c r="N268" s="19">
        <v>8.5</v>
      </c>
      <c r="O268" s="22" t="str">
        <f t="shared" si="7"/>
        <v/>
      </c>
      <c r="P268" s="20" t="s">
        <v>231</v>
      </c>
      <c r="Q268" s="375" t="s">
        <v>224</v>
      </c>
      <c r="R268" s="375"/>
      <c r="S268" s="375"/>
      <c r="T268" s="93"/>
      <c r="U268" s="11"/>
      <c r="V268" s="337">
        <v>9</v>
      </c>
      <c r="W268" s="372" t="str">
        <f>IF(OR(G268="Collectors",G268="Special Pricing",G268="Boutique",G268="leafjoy littles™",G268="Premium"),
    IF(V268&gt;0,"Show","Hide"),
    IF(V268 &gt;= _xlfn.XLOOKUP(F268,'Min table'!C$3:C$5,),"Show","Hide")
)</f>
        <v>Show</v>
      </c>
      <c r="X268" s="317" t="s">
        <v>2021</v>
      </c>
      <c r="Y268" s="317" t="s">
        <v>362</v>
      </c>
      <c r="Z268" s="338"/>
      <c r="AA268" s="338"/>
    </row>
    <row r="269" spans="3:27" ht="18.75" x14ac:dyDescent="0.3">
      <c r="C269" s="322"/>
      <c r="D269" s="9"/>
      <c r="E269" s="9"/>
      <c r="F269" s="21" t="s">
        <v>75</v>
      </c>
      <c r="G269" s="20" t="s">
        <v>945</v>
      </c>
      <c r="H269" s="376" t="s">
        <v>364</v>
      </c>
      <c r="I269" s="376"/>
      <c r="J269" s="376" t="s">
        <v>365</v>
      </c>
      <c r="K269" s="376"/>
      <c r="L269" s="1"/>
      <c r="M269" s="2"/>
      <c r="N269" s="19">
        <v>8.5</v>
      </c>
      <c r="O269" s="22" t="str">
        <f t="shared" si="7"/>
        <v/>
      </c>
      <c r="P269" s="20" t="s">
        <v>231</v>
      </c>
      <c r="Q269" s="375" t="s">
        <v>224</v>
      </c>
      <c r="R269" s="375"/>
      <c r="S269" s="375"/>
      <c r="T269" s="93"/>
      <c r="U269" s="11"/>
      <c r="V269" s="337">
        <v>29</v>
      </c>
      <c r="W269" s="372" t="str">
        <f>IF(OR(G269="Collectors",G269="Special Pricing",G269="Boutique",G269="leafjoy littles™",G269="Premium"),
    IF(V269&gt;0,"Show","Hide"),
    IF(V269 &gt;= _xlfn.XLOOKUP(F269,'Min table'!C$3:C$5,),"Show","Hide")
)</f>
        <v>Show</v>
      </c>
      <c r="X269" s="317" t="s">
        <v>2022</v>
      </c>
      <c r="Y269" s="317" t="s">
        <v>364</v>
      </c>
      <c r="Z269" s="338"/>
      <c r="AA269" s="338"/>
    </row>
    <row r="270" spans="3:27" ht="18.75" hidden="1" x14ac:dyDescent="0.3">
      <c r="C270" s="322"/>
      <c r="D270" s="9"/>
      <c r="E270" s="9"/>
      <c r="F270" s="21" t="s">
        <v>75</v>
      </c>
      <c r="G270" s="20" t="s">
        <v>945</v>
      </c>
      <c r="H270" s="377" t="s">
        <v>366</v>
      </c>
      <c r="I270" s="377"/>
      <c r="J270" s="377" t="s">
        <v>367</v>
      </c>
      <c r="K270" s="377"/>
      <c r="L270" s="1"/>
      <c r="M270" s="2"/>
      <c r="N270" s="19">
        <v>8.5</v>
      </c>
      <c r="O270" s="22" t="str">
        <f t="shared" si="7"/>
        <v/>
      </c>
      <c r="P270" s="20" t="s">
        <v>354</v>
      </c>
      <c r="Q270" s="375" t="s">
        <v>224</v>
      </c>
      <c r="R270" s="375"/>
      <c r="S270" s="375"/>
      <c r="T270" s="93"/>
      <c r="U270" s="11"/>
      <c r="V270" s="337">
        <v>0</v>
      </c>
      <c r="W270" s="372" t="str">
        <f>IF(OR(G270="Collectors",G270="Special Pricing",G270="Boutique",G270="leafjoy littles™",G270="Premium"),
    IF(V270&gt;0,"Show","Hide"),
    IF(V270 &gt;= _xlfn.XLOOKUP(F270,'Min table'!C$3:C$5,),"Show","Hide")
)</f>
        <v>Hide</v>
      </c>
      <c r="X270" s="317" t="s">
        <v>2023</v>
      </c>
      <c r="Y270" s="317" t="s">
        <v>366</v>
      </c>
      <c r="Z270" s="338"/>
      <c r="AA270" s="338"/>
    </row>
    <row r="271" spans="3:27" ht="18.75" hidden="1" x14ac:dyDescent="0.3">
      <c r="C271" s="322"/>
      <c r="D271" s="9"/>
      <c r="E271" s="9"/>
      <c r="F271" s="21" t="s">
        <v>75</v>
      </c>
      <c r="G271" s="20" t="s">
        <v>945</v>
      </c>
      <c r="H271" s="377" t="s">
        <v>368</v>
      </c>
      <c r="I271" s="377"/>
      <c r="J271" s="377" t="s">
        <v>369</v>
      </c>
      <c r="K271" s="377"/>
      <c r="L271" s="1"/>
      <c r="M271" s="2"/>
      <c r="N271" s="19">
        <v>8.5</v>
      </c>
      <c r="O271" s="22" t="str">
        <f t="shared" si="7"/>
        <v/>
      </c>
      <c r="P271" s="20" t="s">
        <v>231</v>
      </c>
      <c r="Q271" s="375" t="s">
        <v>224</v>
      </c>
      <c r="R271" s="375"/>
      <c r="S271" s="375"/>
      <c r="T271" s="93"/>
      <c r="U271" s="11"/>
      <c r="V271" s="337">
        <v>3</v>
      </c>
      <c r="W271" s="372" t="str">
        <f>IF(OR(G271="Collectors",G271="Special Pricing",G271="Boutique",G271="leafjoy littles™",G271="Premium"),
    IF(V271&gt;0,"Show","Hide"),
    IF(V271 &gt;= _xlfn.XLOOKUP(F271,'Min table'!C$3:C$5,),"Show","Hide")
)</f>
        <v>Show</v>
      </c>
      <c r="X271" s="317" t="s">
        <v>2024</v>
      </c>
      <c r="Y271" s="317" t="s">
        <v>368</v>
      </c>
      <c r="Z271" s="338"/>
      <c r="AA271" s="338"/>
    </row>
    <row r="272" spans="3:27" ht="18.75" hidden="1" x14ac:dyDescent="0.3">
      <c r="C272" s="322"/>
      <c r="D272" s="9"/>
      <c r="E272" s="9"/>
      <c r="F272" s="21" t="s">
        <v>75</v>
      </c>
      <c r="G272" s="20" t="s">
        <v>945</v>
      </c>
      <c r="H272" s="376" t="s">
        <v>370</v>
      </c>
      <c r="I272" s="376"/>
      <c r="J272" s="376" t="s">
        <v>371</v>
      </c>
      <c r="K272" s="376"/>
      <c r="L272" s="1"/>
      <c r="M272" s="2"/>
      <c r="N272" s="19">
        <v>8.5</v>
      </c>
      <c r="O272" s="22" t="str">
        <f t="shared" si="7"/>
        <v/>
      </c>
      <c r="P272" s="21" t="s">
        <v>349</v>
      </c>
      <c r="Q272" s="375" t="s">
        <v>224</v>
      </c>
      <c r="R272" s="375"/>
      <c r="S272" s="375"/>
      <c r="T272" s="106"/>
      <c r="U272" s="11"/>
      <c r="V272" s="337">
        <v>8</v>
      </c>
      <c r="W272" s="372" t="str">
        <f>IF(OR(G272="Collectors",G272="Special Pricing",G272="Boutique",G272="leafjoy littles™",G272="Premium"),
    IF(V272&gt;0,"Show","Hide"),
    IF(V272 &gt;= _xlfn.XLOOKUP(F272,'Min table'!C$3:C$5,),"Show","Hide")
)</f>
        <v>Show</v>
      </c>
      <c r="X272" s="317" t="s">
        <v>2025</v>
      </c>
      <c r="Y272" s="317" t="s">
        <v>370</v>
      </c>
      <c r="Z272" s="338"/>
      <c r="AA272" s="338"/>
    </row>
    <row r="273" spans="3:27" ht="18.75" hidden="1" x14ac:dyDescent="0.3">
      <c r="C273" s="322"/>
      <c r="D273" s="9"/>
      <c r="E273" s="9"/>
      <c r="F273" s="21" t="s">
        <v>75</v>
      </c>
      <c r="G273" s="20" t="s">
        <v>945</v>
      </c>
      <c r="H273" s="377" t="s">
        <v>372</v>
      </c>
      <c r="I273" s="377"/>
      <c r="J273" s="377" t="s">
        <v>373</v>
      </c>
      <c r="K273" s="377"/>
      <c r="L273" s="1"/>
      <c r="M273" s="2"/>
      <c r="N273" s="19">
        <v>8.5</v>
      </c>
      <c r="O273" s="22" t="str">
        <f t="shared" si="7"/>
        <v/>
      </c>
      <c r="P273" s="21" t="s">
        <v>231</v>
      </c>
      <c r="Q273" s="375" t="s">
        <v>224</v>
      </c>
      <c r="R273" s="375"/>
      <c r="S273" s="375"/>
      <c r="T273" s="93"/>
      <c r="U273" s="11"/>
      <c r="V273" s="337">
        <v>0</v>
      </c>
      <c r="W273" s="372" t="str">
        <f>IF(OR(G273="Collectors",G273="Special Pricing",G273="Boutique",G273="leafjoy littles™",G273="Premium"),
    IF(V273&gt;0,"Show","Hide"),
    IF(V273 &gt;= _xlfn.XLOOKUP(F273,'Min table'!C$3:C$5,),"Show","Hide")
)</f>
        <v>Hide</v>
      </c>
      <c r="X273" s="317" t="s">
        <v>2026</v>
      </c>
      <c r="Y273" s="317" t="s">
        <v>372</v>
      </c>
      <c r="Z273" s="339"/>
      <c r="AA273" s="339"/>
    </row>
    <row r="274" spans="3:27" ht="18.75" hidden="1" x14ac:dyDescent="0.3">
      <c r="C274" s="322"/>
      <c r="D274" s="9"/>
      <c r="E274" s="9"/>
      <c r="F274" s="21" t="s">
        <v>75</v>
      </c>
      <c r="G274" s="20" t="s">
        <v>945</v>
      </c>
      <c r="H274" s="377" t="s">
        <v>374</v>
      </c>
      <c r="I274" s="377"/>
      <c r="J274" s="377" t="s">
        <v>375</v>
      </c>
      <c r="K274" s="377"/>
      <c r="L274" s="1"/>
      <c r="M274" s="2"/>
      <c r="N274" s="19">
        <v>8.5</v>
      </c>
      <c r="O274" s="22" t="str">
        <f t="shared" si="7"/>
        <v/>
      </c>
      <c r="P274" s="21" t="s">
        <v>361</v>
      </c>
      <c r="Q274" s="375" t="s">
        <v>224</v>
      </c>
      <c r="R274" s="375"/>
      <c r="S274" s="375"/>
      <c r="T274" s="93"/>
      <c r="U274" s="11"/>
      <c r="V274" s="337">
        <v>0</v>
      </c>
      <c r="W274" s="372" t="str">
        <f>IF(OR(G274="Collectors",G274="Special Pricing",G274="Boutique",G274="leafjoy littles™",G274="Premium"),
    IF(V274&gt;0,"Show","Hide"),
    IF(V274 &gt;= _xlfn.XLOOKUP(F274,'Min table'!C$3:C$5,),"Show","Hide")
)</f>
        <v>Hide</v>
      </c>
      <c r="X274" s="317" t="s">
        <v>2027</v>
      </c>
      <c r="Y274" s="317" t="s">
        <v>374</v>
      </c>
      <c r="Z274" s="339"/>
      <c r="AA274" s="339"/>
    </row>
    <row r="275" spans="3:27" ht="18.75" hidden="1" x14ac:dyDescent="0.3">
      <c r="C275" s="322"/>
      <c r="D275" s="9"/>
      <c r="E275" s="9"/>
      <c r="F275" s="21" t="s">
        <v>75</v>
      </c>
      <c r="G275" s="20" t="s">
        <v>945</v>
      </c>
      <c r="H275" s="377" t="s">
        <v>376</v>
      </c>
      <c r="I275" s="377"/>
      <c r="J275" s="377" t="s">
        <v>377</v>
      </c>
      <c r="K275" s="377"/>
      <c r="L275" s="1"/>
      <c r="M275" s="2"/>
      <c r="N275" s="19">
        <v>8.5</v>
      </c>
      <c r="O275" s="22" t="str">
        <f t="shared" si="7"/>
        <v/>
      </c>
      <c r="P275" s="21" t="s">
        <v>231</v>
      </c>
      <c r="Q275" s="375" t="s">
        <v>224</v>
      </c>
      <c r="R275" s="375"/>
      <c r="S275" s="375"/>
      <c r="T275" s="93"/>
      <c r="U275" s="11"/>
      <c r="V275" s="337">
        <v>0</v>
      </c>
      <c r="W275" s="372" t="str">
        <f>IF(OR(G275="Collectors",G275="Special Pricing",G275="Boutique",G275="leafjoy littles™",G275="Premium"),
    IF(V275&gt;0,"Show","Hide"),
    IF(V275 &gt;= _xlfn.XLOOKUP(F275,'Min table'!C$3:C$5,),"Show","Hide")
)</f>
        <v>Hide</v>
      </c>
      <c r="X275" s="317" t="s">
        <v>2028</v>
      </c>
      <c r="Y275" s="317" t="s">
        <v>376</v>
      </c>
      <c r="Z275" s="340"/>
      <c r="AA275" s="340"/>
    </row>
    <row r="276" spans="3:27" ht="18.75" hidden="1" x14ac:dyDescent="0.3">
      <c r="C276" s="322"/>
      <c r="D276" s="9"/>
      <c r="E276" s="9"/>
      <c r="F276" s="21" t="s">
        <v>75</v>
      </c>
      <c r="G276" s="20" t="s">
        <v>945</v>
      </c>
      <c r="H276" s="377" t="s">
        <v>378</v>
      </c>
      <c r="I276" s="377"/>
      <c r="J276" s="377" t="s">
        <v>379</v>
      </c>
      <c r="K276" s="377"/>
      <c r="L276" s="1"/>
      <c r="M276" s="2"/>
      <c r="N276" s="19">
        <v>8.5</v>
      </c>
      <c r="O276" s="22" t="str">
        <f t="shared" ref="O276:O348" si="9">IF(AND(L276="",M276=""),"",(L276*N276)+(M276*(N276+2.25)))</f>
        <v/>
      </c>
      <c r="P276" s="20" t="s">
        <v>361</v>
      </c>
      <c r="Q276" s="375" t="s">
        <v>224</v>
      </c>
      <c r="R276" s="375"/>
      <c r="S276" s="375"/>
      <c r="T276" s="93"/>
      <c r="U276" s="11"/>
      <c r="V276" s="337">
        <v>0</v>
      </c>
      <c r="W276" s="372" t="str">
        <f>IF(OR(G276="Collectors",G276="Special Pricing",G276="Boutique",G276="leafjoy littles™",G276="Premium"),
    IF(V276&gt;0,"Show","Hide"),
    IF(V276 &gt;= _xlfn.XLOOKUP(F276,'Min table'!C$3:C$5,),"Show","Hide")
)</f>
        <v>Hide</v>
      </c>
      <c r="X276" s="317" t="s">
        <v>2029</v>
      </c>
      <c r="Y276" s="317" t="s">
        <v>378</v>
      </c>
      <c r="Z276" s="341"/>
      <c r="AA276" s="341"/>
    </row>
    <row r="277" spans="3:27" ht="18.75" hidden="1" x14ac:dyDescent="0.3">
      <c r="C277" s="322"/>
      <c r="D277" s="9"/>
      <c r="E277" s="9"/>
      <c r="F277" s="21" t="s">
        <v>75</v>
      </c>
      <c r="G277" s="20" t="s">
        <v>945</v>
      </c>
      <c r="H277" s="377" t="s">
        <v>380</v>
      </c>
      <c r="I277" s="377"/>
      <c r="J277" s="377" t="s">
        <v>381</v>
      </c>
      <c r="K277" s="377"/>
      <c r="L277" s="1"/>
      <c r="M277" s="2"/>
      <c r="N277" s="19">
        <v>8.5</v>
      </c>
      <c r="O277" s="22" t="str">
        <f t="shared" si="9"/>
        <v/>
      </c>
      <c r="P277" s="20" t="s">
        <v>382</v>
      </c>
      <c r="Q277" s="375" t="s">
        <v>224</v>
      </c>
      <c r="R277" s="375"/>
      <c r="S277" s="375"/>
      <c r="T277" s="93"/>
      <c r="U277" s="11"/>
      <c r="V277" s="337">
        <v>0</v>
      </c>
      <c r="W277" s="372" t="str">
        <f>IF(OR(G277="Collectors",G277="Special Pricing",G277="Boutique",G277="leafjoy littles™",G277="Premium"),
    IF(V277&gt;0,"Show","Hide"),
    IF(V277 &gt;= _xlfn.XLOOKUP(F277,'Min table'!C$3:C$5,),"Show","Hide")
)</f>
        <v>Hide</v>
      </c>
      <c r="X277" s="317" t="s">
        <v>2030</v>
      </c>
      <c r="Y277" s="317" t="s">
        <v>380</v>
      </c>
    </row>
    <row r="278" spans="3:27" ht="18.75" hidden="1" x14ac:dyDescent="0.3">
      <c r="C278" s="322"/>
      <c r="D278" s="9"/>
      <c r="E278" s="9"/>
      <c r="F278" s="21" t="s">
        <v>75</v>
      </c>
      <c r="G278" s="20" t="s">
        <v>945</v>
      </c>
      <c r="H278" s="377" t="s">
        <v>383</v>
      </c>
      <c r="I278" s="377"/>
      <c r="J278" s="377" t="s">
        <v>384</v>
      </c>
      <c r="K278" s="377"/>
      <c r="L278" s="1"/>
      <c r="M278" s="2"/>
      <c r="N278" s="19">
        <v>8.5</v>
      </c>
      <c r="O278" s="22" t="str">
        <f t="shared" si="9"/>
        <v/>
      </c>
      <c r="P278" s="20" t="s">
        <v>382</v>
      </c>
      <c r="Q278" s="375" t="s">
        <v>224</v>
      </c>
      <c r="R278" s="375"/>
      <c r="S278" s="375"/>
      <c r="T278" s="93"/>
      <c r="U278" s="11"/>
      <c r="V278" s="337">
        <v>0</v>
      </c>
      <c r="W278" s="372" t="str">
        <f>IF(OR(G278="Collectors",G278="Special Pricing",G278="Boutique",G278="leafjoy littles™",G278="Premium"),
    IF(V278&gt;0,"Show","Hide"),
    IF(V278 &gt;= _xlfn.XLOOKUP(F278,'Min table'!C$3:C$5,),"Show","Hide")
)</f>
        <v>Hide</v>
      </c>
      <c r="X278" s="317" t="s">
        <v>2031</v>
      </c>
      <c r="Y278" s="317" t="s">
        <v>383</v>
      </c>
    </row>
    <row r="279" spans="3:27" ht="18.75" hidden="1" x14ac:dyDescent="0.3">
      <c r="C279" s="322"/>
      <c r="D279" s="9"/>
      <c r="E279" s="9"/>
      <c r="F279" s="21" t="s">
        <v>75</v>
      </c>
      <c r="G279" s="20" t="s">
        <v>945</v>
      </c>
      <c r="H279" s="377" t="s">
        <v>385</v>
      </c>
      <c r="I279" s="377"/>
      <c r="J279" s="377" t="s">
        <v>386</v>
      </c>
      <c r="K279" s="377"/>
      <c r="L279" s="1"/>
      <c r="M279" s="2"/>
      <c r="N279" s="19">
        <v>8.5</v>
      </c>
      <c r="O279" s="22" t="str">
        <f t="shared" si="9"/>
        <v/>
      </c>
      <c r="P279" s="21" t="s">
        <v>361</v>
      </c>
      <c r="Q279" s="375" t="s">
        <v>224</v>
      </c>
      <c r="R279" s="375"/>
      <c r="S279" s="375"/>
      <c r="T279" s="93"/>
      <c r="U279" s="11"/>
      <c r="V279" s="337">
        <v>0</v>
      </c>
      <c r="W279" s="372" t="str">
        <f>IF(OR(G279="Collectors",G279="Special Pricing",G279="Boutique",G279="leafjoy littles™",G279="Premium"),
    IF(V279&gt;0,"Show","Hide"),
    IF(V279 &gt;= _xlfn.XLOOKUP(F279,'Min table'!C$3:C$5,),"Show","Hide")
)</f>
        <v>Hide</v>
      </c>
      <c r="X279" s="317" t="s">
        <v>2032</v>
      </c>
      <c r="Y279" s="317" t="s">
        <v>385</v>
      </c>
    </row>
    <row r="280" spans="3:27" ht="18.75" hidden="1" x14ac:dyDescent="0.3">
      <c r="C280" s="322"/>
      <c r="D280" s="9"/>
      <c r="E280" s="9"/>
      <c r="F280" s="21" t="s">
        <v>75</v>
      </c>
      <c r="G280" s="20" t="s">
        <v>945</v>
      </c>
      <c r="H280" s="377" t="s">
        <v>387</v>
      </c>
      <c r="I280" s="377"/>
      <c r="J280" s="377" t="s">
        <v>388</v>
      </c>
      <c r="K280" s="377"/>
      <c r="L280" s="1"/>
      <c r="M280" s="2"/>
      <c r="N280" s="19">
        <v>8.5</v>
      </c>
      <c r="O280" s="22" t="str">
        <f t="shared" si="9"/>
        <v/>
      </c>
      <c r="P280" s="20" t="s">
        <v>389</v>
      </c>
      <c r="Q280" s="375" t="s">
        <v>224</v>
      </c>
      <c r="R280" s="375"/>
      <c r="S280" s="375"/>
      <c r="T280" s="93"/>
      <c r="U280" s="11"/>
      <c r="V280" s="337">
        <v>0</v>
      </c>
      <c r="W280" s="372" t="str">
        <f>IF(OR(G280="Collectors",G280="Special Pricing",G280="Boutique",G280="leafjoy littles™",G280="Premium"),
    IF(V280&gt;0,"Show","Hide"),
    IF(V280 &gt;= _xlfn.XLOOKUP(F280,'Min table'!C$3:C$5,),"Show","Hide")
)</f>
        <v>Hide</v>
      </c>
      <c r="X280" s="317" t="s">
        <v>2033</v>
      </c>
      <c r="Y280" s="317" t="s">
        <v>387</v>
      </c>
    </row>
    <row r="281" spans="3:27" ht="18.75" hidden="1" x14ac:dyDescent="0.3">
      <c r="C281" s="322"/>
      <c r="D281" s="9"/>
      <c r="E281" s="9"/>
      <c r="F281" s="21" t="s">
        <v>75</v>
      </c>
      <c r="G281" s="20" t="s">
        <v>945</v>
      </c>
      <c r="H281" s="377" t="s">
        <v>390</v>
      </c>
      <c r="I281" s="377"/>
      <c r="J281" s="377" t="s">
        <v>391</v>
      </c>
      <c r="K281" s="377"/>
      <c r="L281" s="1"/>
      <c r="M281" s="2"/>
      <c r="N281" s="19">
        <v>8.5</v>
      </c>
      <c r="O281" s="22" t="str">
        <f t="shared" si="9"/>
        <v/>
      </c>
      <c r="P281" s="21" t="s">
        <v>361</v>
      </c>
      <c r="Q281" s="375" t="s">
        <v>224</v>
      </c>
      <c r="R281" s="375"/>
      <c r="S281" s="375"/>
      <c r="T281" s="93"/>
      <c r="U281" s="11"/>
      <c r="V281" s="337">
        <v>0</v>
      </c>
      <c r="W281" s="372" t="str">
        <f>IF(OR(G281="Collectors",G281="Special Pricing",G281="Boutique",G281="leafjoy littles™",G281="Premium"),
    IF(V281&gt;0,"Show","Hide"),
    IF(V281 &gt;= _xlfn.XLOOKUP(F281,'Min table'!C$3:C$5,),"Show","Hide")
)</f>
        <v>Hide</v>
      </c>
      <c r="X281" s="317" t="s">
        <v>2034</v>
      </c>
      <c r="Y281" s="317" t="s">
        <v>390</v>
      </c>
    </row>
    <row r="282" spans="3:27" ht="18.75" hidden="1" x14ac:dyDescent="0.3">
      <c r="C282" s="322"/>
      <c r="D282" s="9"/>
      <c r="E282" s="9"/>
      <c r="F282" s="21" t="s">
        <v>75</v>
      </c>
      <c r="G282" s="20" t="s">
        <v>945</v>
      </c>
      <c r="H282" s="377" t="s">
        <v>1870</v>
      </c>
      <c r="I282" s="377" t="s">
        <v>1869</v>
      </c>
      <c r="J282" s="377"/>
      <c r="K282" s="377"/>
      <c r="L282" s="1"/>
      <c r="M282" s="2"/>
      <c r="N282" s="19">
        <v>8.5</v>
      </c>
      <c r="O282" s="22" t="str">
        <f t="shared" si="9"/>
        <v/>
      </c>
      <c r="P282" s="21" t="s">
        <v>506</v>
      </c>
      <c r="Q282" s="375" t="s">
        <v>224</v>
      </c>
      <c r="R282" s="375"/>
      <c r="S282" s="375"/>
      <c r="T282" s="93"/>
      <c r="U282" s="11"/>
      <c r="V282" s="337">
        <v>0</v>
      </c>
      <c r="W282" s="372" t="str">
        <f>IF(OR(G282="Collectors",G282="Special Pricing",G282="Boutique",G282="leafjoy littles™",G282="Premium"),
    IF(V282&gt;0,"Show","Hide"),
    IF(V282 &gt;= _xlfn.XLOOKUP(F282,'Min table'!C$3:C$5,),"Show","Hide")
)</f>
        <v>Hide</v>
      </c>
      <c r="X282" s="317" t="s">
        <v>2035</v>
      </c>
      <c r="Y282" s="317" t="s">
        <v>1870</v>
      </c>
    </row>
    <row r="283" spans="3:27" ht="18.75" hidden="1" x14ac:dyDescent="0.3">
      <c r="C283" s="322"/>
      <c r="D283" s="9"/>
      <c r="E283" s="9"/>
      <c r="F283" s="21" t="s">
        <v>75</v>
      </c>
      <c r="G283" s="20" t="s">
        <v>945</v>
      </c>
      <c r="H283" s="377" t="s">
        <v>1871</v>
      </c>
      <c r="I283" s="377"/>
      <c r="J283" s="377"/>
      <c r="K283" s="377"/>
      <c r="L283" s="1"/>
      <c r="M283" s="2"/>
      <c r="N283" s="19">
        <v>8.5</v>
      </c>
      <c r="O283" s="22" t="str">
        <f t="shared" si="9"/>
        <v/>
      </c>
      <c r="P283" s="21" t="s">
        <v>506</v>
      </c>
      <c r="Q283" s="375" t="s">
        <v>224</v>
      </c>
      <c r="R283" s="375"/>
      <c r="S283" s="375"/>
      <c r="T283" s="93"/>
      <c r="U283" s="11"/>
      <c r="V283" s="337">
        <v>0</v>
      </c>
      <c r="W283" s="372" t="str">
        <f>IF(OR(G283="Collectors",G283="Special Pricing",G283="Boutique",G283="leafjoy littles™",G283="Premium"),
    IF(V283&gt;0,"Show","Hide"),
    IF(V283 &gt;= _xlfn.XLOOKUP(F283,'Min table'!C$3:C$5,),"Show","Hide")
)</f>
        <v>Hide</v>
      </c>
      <c r="X283" s="317" t="s">
        <v>1906</v>
      </c>
      <c r="Y283" s="317" t="s">
        <v>1871</v>
      </c>
    </row>
    <row r="284" spans="3:27" ht="18.75" hidden="1" x14ac:dyDescent="0.3">
      <c r="C284" s="322"/>
      <c r="D284" s="9"/>
      <c r="E284" s="9"/>
      <c r="F284" s="21" t="s">
        <v>75</v>
      </c>
      <c r="G284" s="20" t="s">
        <v>945</v>
      </c>
      <c r="H284" s="377" t="s">
        <v>2743</v>
      </c>
      <c r="I284" s="377"/>
      <c r="J284" s="377"/>
      <c r="K284" s="377"/>
      <c r="L284" s="1"/>
      <c r="M284" s="2"/>
      <c r="N284" s="19">
        <v>8.5</v>
      </c>
      <c r="O284" s="22" t="str">
        <f>IF(AND(L284="",M284=""),"",(L284*N284)+(M284*(N284+2.25)))</f>
        <v/>
      </c>
      <c r="P284" s="19" t="s">
        <v>506</v>
      </c>
      <c r="Q284" s="375" t="s">
        <v>224</v>
      </c>
      <c r="R284" s="375"/>
      <c r="S284" s="375"/>
      <c r="T284" s="93"/>
      <c r="U284" s="11"/>
      <c r="V284" s="320">
        <v>9</v>
      </c>
      <c r="W284" s="372" t="str">
        <f>IF(OR(G284="Collectors",G284="Special Pricing",G284="Boutique",G284="leafjoy littles™",G284="Premium"),
    IF(V284&gt;0,"Show","Hide"),
    IF(V284 &gt;= _xlfn.XLOOKUP(F284,'Min table'!C$3:C$5,),"Show","Hide")
)</f>
        <v>Show</v>
      </c>
    </row>
    <row r="285" spans="3:27" ht="18.75" hidden="1" x14ac:dyDescent="0.3">
      <c r="C285" s="322"/>
      <c r="D285" s="9"/>
      <c r="E285" s="9"/>
      <c r="F285" s="21" t="s">
        <v>75</v>
      </c>
      <c r="G285" s="20" t="s">
        <v>945</v>
      </c>
      <c r="H285" s="377" t="s">
        <v>392</v>
      </c>
      <c r="I285" s="377"/>
      <c r="J285" s="377"/>
      <c r="K285" s="377"/>
      <c r="L285" s="1"/>
      <c r="M285" s="2"/>
      <c r="N285" s="19">
        <v>8.5</v>
      </c>
      <c r="O285" s="22" t="str">
        <f t="shared" si="9"/>
        <v/>
      </c>
      <c r="P285" s="21" t="s">
        <v>393</v>
      </c>
      <c r="Q285" s="375" t="s">
        <v>224</v>
      </c>
      <c r="R285" s="375"/>
      <c r="S285" s="375"/>
      <c r="T285" s="93"/>
      <c r="U285" s="11"/>
      <c r="V285" s="337">
        <v>0</v>
      </c>
      <c r="W285" s="372" t="str">
        <f>IF(OR(G285="Collectors",G285="Special Pricing",G285="Boutique",G285="leafjoy littles™",G285="Premium"),
    IF(V285&gt;0,"Show","Hide"),
    IF(V285 &gt;= _xlfn.XLOOKUP(F285,'Min table'!C$3:C$5,),"Show","Hide")
)</f>
        <v>Hide</v>
      </c>
      <c r="X285" s="317" t="s">
        <v>2036</v>
      </c>
      <c r="Y285" s="317" t="s">
        <v>394</v>
      </c>
    </row>
    <row r="286" spans="3:27" ht="18.75" hidden="1" x14ac:dyDescent="0.3">
      <c r="C286" s="322"/>
      <c r="D286" s="9"/>
      <c r="E286" s="9"/>
      <c r="F286" s="21" t="s">
        <v>75</v>
      </c>
      <c r="G286" s="20" t="s">
        <v>945</v>
      </c>
      <c r="H286" s="377" t="s">
        <v>395</v>
      </c>
      <c r="I286" s="377"/>
      <c r="J286" s="377"/>
      <c r="K286" s="377"/>
      <c r="L286" s="1"/>
      <c r="M286" s="2"/>
      <c r="N286" s="19">
        <v>8.5</v>
      </c>
      <c r="O286" s="22" t="str">
        <f t="shared" si="9"/>
        <v/>
      </c>
      <c r="P286" s="21" t="s">
        <v>393</v>
      </c>
      <c r="Q286" s="375" t="s">
        <v>224</v>
      </c>
      <c r="R286" s="375"/>
      <c r="S286" s="375"/>
      <c r="T286" s="93"/>
      <c r="U286" s="11"/>
      <c r="V286" s="337">
        <v>0</v>
      </c>
      <c r="W286" s="372" t="str">
        <f>IF(OR(G286="Collectors",G286="Special Pricing",G286="Boutique",G286="leafjoy littles™",G286="Premium"),
    IF(V286&gt;0,"Show","Hide"),
    IF(V286 &gt;= _xlfn.XLOOKUP(F286,'Min table'!C$3:C$5,),"Show","Hide")
)</f>
        <v>Hide</v>
      </c>
      <c r="X286" s="317" t="s">
        <v>2037</v>
      </c>
      <c r="Y286" s="317" t="s">
        <v>396</v>
      </c>
    </row>
    <row r="287" spans="3:27" ht="18.75" hidden="1" x14ac:dyDescent="0.3">
      <c r="C287" s="322"/>
      <c r="D287" s="9"/>
      <c r="E287" s="9"/>
      <c r="F287" s="21" t="s">
        <v>75</v>
      </c>
      <c r="G287" s="20" t="s">
        <v>945</v>
      </c>
      <c r="H287" s="377" t="s">
        <v>107</v>
      </c>
      <c r="I287" s="377"/>
      <c r="J287" s="377" t="s">
        <v>397</v>
      </c>
      <c r="K287" s="377"/>
      <c r="L287" s="1"/>
      <c r="M287" s="2"/>
      <c r="N287" s="19">
        <v>8.5</v>
      </c>
      <c r="O287" s="22" t="str">
        <f t="shared" si="9"/>
        <v/>
      </c>
      <c r="P287" s="20" t="s">
        <v>398</v>
      </c>
      <c r="Q287" s="375" t="s">
        <v>224</v>
      </c>
      <c r="R287" s="375"/>
      <c r="S287" s="375"/>
      <c r="T287" s="93"/>
      <c r="U287" s="11"/>
      <c r="V287" s="337">
        <v>0</v>
      </c>
      <c r="W287" s="372" t="str">
        <f>IF(OR(G287="Collectors",G287="Special Pricing",G287="Boutique",G287="leafjoy littles™",G287="Premium"),
    IF(V287&gt;0,"Show","Hide"),
    IF(V287 &gt;= _xlfn.XLOOKUP(F287,'Min table'!C$3:C$5,),"Show","Hide")
)</f>
        <v>Hide</v>
      </c>
      <c r="X287" s="317" t="s">
        <v>2038</v>
      </c>
      <c r="Y287" s="317" t="s">
        <v>107</v>
      </c>
    </row>
    <row r="288" spans="3:27" ht="18.75" hidden="1" x14ac:dyDescent="0.3">
      <c r="C288" s="322"/>
      <c r="D288" s="9"/>
      <c r="E288" s="9"/>
      <c r="F288" s="21" t="s">
        <v>75</v>
      </c>
      <c r="G288" s="20" t="s">
        <v>945</v>
      </c>
      <c r="H288" s="377" t="s">
        <v>399</v>
      </c>
      <c r="I288" s="377"/>
      <c r="J288" s="377" t="s">
        <v>400</v>
      </c>
      <c r="K288" s="377"/>
      <c r="L288" s="1"/>
      <c r="M288" s="2"/>
      <c r="N288" s="19">
        <v>8.5</v>
      </c>
      <c r="O288" s="22" t="str">
        <f t="shared" si="9"/>
        <v/>
      </c>
      <c r="P288" s="20" t="s">
        <v>401</v>
      </c>
      <c r="Q288" s="375" t="s">
        <v>224</v>
      </c>
      <c r="R288" s="375"/>
      <c r="S288" s="375"/>
      <c r="T288" s="93"/>
      <c r="U288" s="11"/>
      <c r="V288" s="337">
        <v>2</v>
      </c>
      <c r="W288" s="372" t="str">
        <f>IF(OR(G288="Collectors",G288="Special Pricing",G288="Boutique",G288="leafjoy littles™",G288="Premium"),
    IF(V288&gt;0,"Show","Hide"),
    IF(V288 &gt;= _xlfn.XLOOKUP(F288,'Min table'!C$3:C$5,),"Show","Hide")
)</f>
        <v>Show</v>
      </c>
      <c r="X288" s="317" t="s">
        <v>2039</v>
      </c>
      <c r="Y288" s="317" t="s">
        <v>399</v>
      </c>
    </row>
    <row r="289" spans="3:25" ht="18.75" hidden="1" x14ac:dyDescent="0.3">
      <c r="C289" s="322"/>
      <c r="D289" s="9"/>
      <c r="E289" s="9"/>
      <c r="F289" s="21" t="s">
        <v>75</v>
      </c>
      <c r="G289" s="20" t="s">
        <v>945</v>
      </c>
      <c r="H289" s="377" t="s">
        <v>402</v>
      </c>
      <c r="I289" s="377"/>
      <c r="J289" s="377" t="s">
        <v>403</v>
      </c>
      <c r="K289" s="377"/>
      <c r="L289" s="1"/>
      <c r="M289" s="2"/>
      <c r="N289" s="19">
        <v>8.5</v>
      </c>
      <c r="O289" s="22" t="str">
        <f t="shared" si="9"/>
        <v/>
      </c>
      <c r="P289" s="20" t="s">
        <v>401</v>
      </c>
      <c r="Q289" s="375" t="s">
        <v>224</v>
      </c>
      <c r="R289" s="375"/>
      <c r="S289" s="375"/>
      <c r="T289" s="93"/>
      <c r="U289" s="11"/>
      <c r="V289" s="337">
        <v>0</v>
      </c>
      <c r="W289" s="372" t="str">
        <f>IF(OR(G289="Collectors",G289="Special Pricing",G289="Boutique",G289="leafjoy littles™",G289="Premium"),
    IF(V289&gt;0,"Show","Hide"),
    IF(V289 &gt;= _xlfn.XLOOKUP(F289,'Min table'!C$3:C$5,),"Show","Hide")
)</f>
        <v>Hide</v>
      </c>
      <c r="X289" s="317" t="s">
        <v>2040</v>
      </c>
      <c r="Y289" s="317" t="s">
        <v>402</v>
      </c>
    </row>
    <row r="290" spans="3:25" ht="18.75" x14ac:dyDescent="0.3">
      <c r="C290" s="322"/>
      <c r="D290" s="9"/>
      <c r="E290" s="9"/>
      <c r="F290" s="21" t="s">
        <v>75</v>
      </c>
      <c r="G290" s="20" t="s">
        <v>945</v>
      </c>
      <c r="H290" s="377" t="s">
        <v>404</v>
      </c>
      <c r="I290" s="377"/>
      <c r="J290" s="377" t="s">
        <v>405</v>
      </c>
      <c r="K290" s="377"/>
      <c r="L290" s="1"/>
      <c r="M290" s="2"/>
      <c r="N290" s="19">
        <v>8.5</v>
      </c>
      <c r="O290" s="22" t="str">
        <f t="shared" si="9"/>
        <v/>
      </c>
      <c r="P290" s="21" t="s">
        <v>406</v>
      </c>
      <c r="Q290" s="375" t="s">
        <v>224</v>
      </c>
      <c r="R290" s="375"/>
      <c r="S290" s="375"/>
      <c r="T290" s="93"/>
      <c r="U290" s="11"/>
      <c r="V290" s="337">
        <v>67</v>
      </c>
      <c r="W290" s="372" t="str">
        <f>IF(OR(G290="Collectors",G290="Special Pricing",G290="Boutique",G290="leafjoy littles™",G290="Premium"),
    IF(V290&gt;0,"Show","Hide"),
    IF(V290 &gt;= _xlfn.XLOOKUP(F290,'Min table'!C$3:C$5,),"Show","Hide")
)</f>
        <v>Show</v>
      </c>
      <c r="X290" s="317" t="s">
        <v>2041</v>
      </c>
      <c r="Y290" s="317" t="s">
        <v>404</v>
      </c>
    </row>
    <row r="291" spans="3:25" ht="18.75" hidden="1" x14ac:dyDescent="0.3">
      <c r="C291" s="322"/>
      <c r="D291" s="9"/>
      <c r="E291" s="9"/>
      <c r="F291" s="21" t="s">
        <v>75</v>
      </c>
      <c r="G291" s="20" t="s">
        <v>945</v>
      </c>
      <c r="H291" s="377" t="s">
        <v>407</v>
      </c>
      <c r="I291" s="377"/>
      <c r="J291" s="377" t="s">
        <v>408</v>
      </c>
      <c r="K291" s="377"/>
      <c r="L291" s="1"/>
      <c r="M291" s="2"/>
      <c r="N291" s="19">
        <v>8.5</v>
      </c>
      <c r="O291" s="22" t="str">
        <f t="shared" si="9"/>
        <v/>
      </c>
      <c r="P291" s="21" t="s">
        <v>349</v>
      </c>
      <c r="Q291" s="375" t="s">
        <v>224</v>
      </c>
      <c r="R291" s="375"/>
      <c r="S291" s="375"/>
      <c r="T291" s="93"/>
      <c r="U291" s="11"/>
      <c r="V291" s="337">
        <v>0</v>
      </c>
      <c r="W291" s="372" t="str">
        <f>IF(OR(G291="Collectors",G291="Special Pricing",G291="Boutique",G291="leafjoy littles™",G291="Premium"),
    IF(V291&gt;0,"Show","Hide"),
    IF(V291 &gt;= _xlfn.XLOOKUP(F291,'Min table'!C$3:C$5,),"Show","Hide")
)</f>
        <v>Hide</v>
      </c>
      <c r="X291" s="317" t="s">
        <v>2042</v>
      </c>
      <c r="Y291" s="317" t="s">
        <v>407</v>
      </c>
    </row>
    <row r="292" spans="3:25" ht="18.75" hidden="1" x14ac:dyDescent="0.3">
      <c r="C292" s="322"/>
      <c r="D292" s="9"/>
      <c r="E292" s="9"/>
      <c r="F292" s="21" t="s">
        <v>75</v>
      </c>
      <c r="G292" s="20" t="s">
        <v>945</v>
      </c>
      <c r="H292" s="377" t="s">
        <v>409</v>
      </c>
      <c r="I292" s="377"/>
      <c r="J292" s="377" t="s">
        <v>410</v>
      </c>
      <c r="K292" s="377"/>
      <c r="L292" s="1"/>
      <c r="M292" s="2"/>
      <c r="N292" s="19">
        <v>8.5</v>
      </c>
      <c r="O292" s="22" t="str">
        <f t="shared" si="9"/>
        <v/>
      </c>
      <c r="P292" s="21" t="s">
        <v>411</v>
      </c>
      <c r="Q292" s="375" t="s">
        <v>224</v>
      </c>
      <c r="R292" s="375"/>
      <c r="S292" s="375"/>
      <c r="T292" s="93"/>
      <c r="U292" s="11"/>
      <c r="V292" s="337">
        <v>0</v>
      </c>
      <c r="W292" s="372" t="str">
        <f>IF(OR(G292="Collectors",G292="Special Pricing",G292="Boutique",G292="leafjoy littles™",G292="Premium"),
    IF(V292&gt;0,"Show","Hide"),
    IF(V292 &gt;= _xlfn.XLOOKUP(F292,'Min table'!C$3:C$5,),"Show","Hide")
)</f>
        <v>Hide</v>
      </c>
      <c r="X292" s="317" t="s">
        <v>2043</v>
      </c>
      <c r="Y292" s="317" t="s">
        <v>409</v>
      </c>
    </row>
    <row r="293" spans="3:25" ht="18.75" hidden="1" x14ac:dyDescent="0.3">
      <c r="C293" s="322"/>
      <c r="D293" s="9"/>
      <c r="E293" s="9"/>
      <c r="F293" s="21" t="s">
        <v>75</v>
      </c>
      <c r="G293" s="20" t="s">
        <v>945</v>
      </c>
      <c r="H293" s="377" t="s">
        <v>121</v>
      </c>
      <c r="I293" s="377"/>
      <c r="J293" s="377" t="s">
        <v>412</v>
      </c>
      <c r="K293" s="377"/>
      <c r="L293" s="1"/>
      <c r="M293" s="2"/>
      <c r="N293" s="19">
        <v>8.5</v>
      </c>
      <c r="O293" s="22" t="str">
        <f t="shared" si="9"/>
        <v/>
      </c>
      <c r="P293" s="21" t="s">
        <v>413</v>
      </c>
      <c r="Q293" s="375" t="s">
        <v>224</v>
      </c>
      <c r="R293" s="375"/>
      <c r="S293" s="375"/>
      <c r="T293" s="93"/>
      <c r="U293" s="11"/>
      <c r="V293" s="337">
        <v>0</v>
      </c>
      <c r="W293" s="372" t="str">
        <f>IF(OR(G293="Collectors",G293="Special Pricing",G293="Boutique",G293="leafjoy littles™",G293="Premium"),
    IF(V293&gt;0,"Show","Hide"),
    IF(V293 &gt;= _xlfn.XLOOKUP(F293,'Min table'!C$3:C$5,),"Show","Hide")
)</f>
        <v>Hide</v>
      </c>
      <c r="X293" s="317" t="s">
        <v>2044</v>
      </c>
      <c r="Y293" s="317" t="s">
        <v>121</v>
      </c>
    </row>
    <row r="294" spans="3:25" ht="18.75" hidden="1" x14ac:dyDescent="0.3">
      <c r="C294" s="322"/>
      <c r="D294" s="9"/>
      <c r="E294" s="9"/>
      <c r="F294" s="21" t="s">
        <v>75</v>
      </c>
      <c r="G294" s="20" t="s">
        <v>945</v>
      </c>
      <c r="H294" s="377" t="s">
        <v>1851</v>
      </c>
      <c r="I294" s="377"/>
      <c r="J294" s="377" t="s">
        <v>415</v>
      </c>
      <c r="K294" s="377"/>
      <c r="L294" s="1"/>
      <c r="M294" s="2"/>
      <c r="N294" s="19">
        <v>8.5</v>
      </c>
      <c r="O294" s="22" t="str">
        <f t="shared" si="9"/>
        <v/>
      </c>
      <c r="P294" s="21" t="s">
        <v>416</v>
      </c>
      <c r="Q294" s="375" t="s">
        <v>224</v>
      </c>
      <c r="R294" s="375"/>
      <c r="S294" s="375"/>
      <c r="T294" s="93"/>
      <c r="U294" s="11"/>
      <c r="V294" s="337">
        <v>0</v>
      </c>
      <c r="W294" s="372" t="str">
        <f>IF(OR(G294="Collectors",G294="Special Pricing",G294="Boutique",G294="leafjoy littles™",G294="Premium"),
    IF(V294&gt;0,"Show","Hide"),
    IF(V294 &gt;= _xlfn.XLOOKUP(F294,'Min table'!C$3:C$5,),"Show","Hide")
)</f>
        <v>Hide</v>
      </c>
      <c r="X294" s="317" t="s">
        <v>2045</v>
      </c>
      <c r="Y294" s="317" t="s">
        <v>414</v>
      </c>
    </row>
    <row r="295" spans="3:25" ht="20.25" hidden="1" customHeight="1" x14ac:dyDescent="0.3">
      <c r="C295" s="322"/>
      <c r="D295" s="9"/>
      <c r="E295" s="9"/>
      <c r="F295" s="21" t="s">
        <v>75</v>
      </c>
      <c r="G295" s="20" t="s">
        <v>945</v>
      </c>
      <c r="H295" s="377" t="s">
        <v>417</v>
      </c>
      <c r="I295" s="377"/>
      <c r="J295" s="377" t="s">
        <v>418</v>
      </c>
      <c r="K295" s="377"/>
      <c r="L295" s="1"/>
      <c r="M295" s="2"/>
      <c r="N295" s="19">
        <v>8.5</v>
      </c>
      <c r="O295" s="22" t="str">
        <f t="shared" si="9"/>
        <v/>
      </c>
      <c r="P295" s="21" t="s">
        <v>354</v>
      </c>
      <c r="Q295" s="375" t="s">
        <v>224</v>
      </c>
      <c r="R295" s="375"/>
      <c r="S295" s="375"/>
      <c r="T295" s="93"/>
      <c r="U295" s="11"/>
      <c r="V295" s="337">
        <v>13</v>
      </c>
      <c r="W295" s="372" t="str">
        <f>IF(OR(G295="Collectors",G295="Special Pricing",G295="Boutique",G295="leafjoy littles™",G295="Premium"),
    IF(V295&gt;0,"Show","Hide"),
    IF(V295 &gt;= _xlfn.XLOOKUP(F295,'Min table'!C$3:C$5,),"Show","Hide")
)</f>
        <v>Show</v>
      </c>
      <c r="X295" s="317" t="s">
        <v>2046</v>
      </c>
      <c r="Y295" s="317" t="s">
        <v>417</v>
      </c>
    </row>
    <row r="296" spans="3:25" ht="18.75" hidden="1" x14ac:dyDescent="0.3">
      <c r="C296" s="322"/>
      <c r="D296" s="9"/>
      <c r="E296" s="9"/>
      <c r="F296" s="21" t="s">
        <v>75</v>
      </c>
      <c r="G296" s="20" t="s">
        <v>945</v>
      </c>
      <c r="H296" s="377" t="s">
        <v>419</v>
      </c>
      <c r="I296" s="377"/>
      <c r="J296" s="377" t="s">
        <v>420</v>
      </c>
      <c r="K296" s="377"/>
      <c r="L296" s="1"/>
      <c r="M296" s="2"/>
      <c r="N296" s="19">
        <v>8.5</v>
      </c>
      <c r="O296" s="22" t="str">
        <f t="shared" si="9"/>
        <v/>
      </c>
      <c r="P296" s="21" t="s">
        <v>421</v>
      </c>
      <c r="Q296" s="375" t="s">
        <v>224</v>
      </c>
      <c r="R296" s="375"/>
      <c r="S296" s="375"/>
      <c r="T296" s="93"/>
      <c r="U296" s="11"/>
      <c r="V296" s="337">
        <v>0</v>
      </c>
      <c r="W296" s="372" t="str">
        <f>IF(OR(G296="Collectors",G296="Special Pricing",G296="Boutique",G296="leafjoy littles™",G296="Premium"),
    IF(V296&gt;0,"Show","Hide"),
    IF(V296 &gt;= _xlfn.XLOOKUP(F296,'Min table'!C$3:C$5,),"Show","Hide")
)</f>
        <v>Hide</v>
      </c>
      <c r="X296" s="317" t="s">
        <v>2047</v>
      </c>
      <c r="Y296" s="317" t="s">
        <v>419</v>
      </c>
    </row>
    <row r="297" spans="3:25" ht="18.75" hidden="1" x14ac:dyDescent="0.3">
      <c r="C297" s="322"/>
      <c r="D297" s="9"/>
      <c r="E297" s="9"/>
      <c r="F297" s="21" t="s">
        <v>75</v>
      </c>
      <c r="G297" s="20" t="s">
        <v>945</v>
      </c>
      <c r="H297" s="377" t="s">
        <v>422</v>
      </c>
      <c r="I297" s="377"/>
      <c r="J297" s="377" t="s">
        <v>423</v>
      </c>
      <c r="K297" s="377"/>
      <c r="L297" s="1"/>
      <c r="M297" s="2"/>
      <c r="N297" s="19">
        <v>8.5</v>
      </c>
      <c r="O297" s="22" t="str">
        <f t="shared" si="9"/>
        <v/>
      </c>
      <c r="P297" s="21" t="s">
        <v>354</v>
      </c>
      <c r="Q297" s="375" t="s">
        <v>224</v>
      </c>
      <c r="R297" s="375"/>
      <c r="S297" s="375"/>
      <c r="T297" s="93"/>
      <c r="U297" s="11"/>
      <c r="V297" s="337">
        <v>0</v>
      </c>
      <c r="W297" s="372" t="str">
        <f>IF(OR(G297="Collectors",G297="Special Pricing",G297="Boutique",G297="leafjoy littles™",G297="Premium"),
    IF(V297&gt;0,"Show","Hide"),
    IF(V297 &gt;= _xlfn.XLOOKUP(F297,'Min table'!C$3:C$5,),"Show","Hide")
)</f>
        <v>Hide</v>
      </c>
      <c r="X297" s="317" t="s">
        <v>2048</v>
      </c>
      <c r="Y297" s="317" t="s">
        <v>422</v>
      </c>
    </row>
    <row r="298" spans="3:25" ht="18.75" hidden="1" x14ac:dyDescent="0.3">
      <c r="C298" s="322"/>
      <c r="D298" s="9"/>
      <c r="E298" s="9"/>
      <c r="F298" s="21" t="s">
        <v>75</v>
      </c>
      <c r="G298" s="20" t="s">
        <v>945</v>
      </c>
      <c r="H298" s="377" t="s">
        <v>424</v>
      </c>
      <c r="I298" s="377"/>
      <c r="J298" s="377" t="s">
        <v>425</v>
      </c>
      <c r="K298" s="377"/>
      <c r="L298" s="1"/>
      <c r="M298" s="2"/>
      <c r="N298" s="19">
        <v>8.5</v>
      </c>
      <c r="O298" s="22" t="str">
        <f t="shared" si="9"/>
        <v/>
      </c>
      <c r="P298" s="21" t="s">
        <v>354</v>
      </c>
      <c r="Q298" s="375" t="s">
        <v>224</v>
      </c>
      <c r="R298" s="375"/>
      <c r="S298" s="375"/>
      <c r="T298" s="93"/>
      <c r="U298" s="11"/>
      <c r="V298" s="337">
        <v>0</v>
      </c>
      <c r="W298" s="372" t="str">
        <f>IF(OR(G298="Collectors",G298="Special Pricing",G298="Boutique",G298="leafjoy littles™",G298="Premium"),
    IF(V298&gt;0,"Show","Hide"),
    IF(V298 &gt;= _xlfn.XLOOKUP(F298,'Min table'!C$3:C$5,),"Show","Hide")
)</f>
        <v>Hide</v>
      </c>
      <c r="X298" s="317" t="s">
        <v>2049</v>
      </c>
      <c r="Y298" s="317" t="s">
        <v>424</v>
      </c>
    </row>
    <row r="299" spans="3:25" ht="18.75" x14ac:dyDescent="0.3">
      <c r="C299" s="322"/>
      <c r="D299" s="9"/>
      <c r="E299" s="9"/>
      <c r="F299" s="21" t="s">
        <v>75</v>
      </c>
      <c r="G299" s="20" t="s">
        <v>945</v>
      </c>
      <c r="H299" s="376" t="s">
        <v>426</v>
      </c>
      <c r="I299" s="376"/>
      <c r="J299" s="376" t="s">
        <v>427</v>
      </c>
      <c r="K299" s="376"/>
      <c r="L299" s="1"/>
      <c r="M299" s="2"/>
      <c r="N299" s="19">
        <v>8.5</v>
      </c>
      <c r="O299" s="22" t="str">
        <f t="shared" si="9"/>
        <v/>
      </c>
      <c r="P299" s="21" t="s">
        <v>354</v>
      </c>
      <c r="Q299" s="375" t="s">
        <v>224</v>
      </c>
      <c r="R299" s="375"/>
      <c r="S299" s="375"/>
      <c r="T299" s="93"/>
      <c r="U299" s="11"/>
      <c r="V299" s="337">
        <v>35</v>
      </c>
      <c r="W299" s="372" t="str">
        <f>IF(OR(G299="Collectors",G299="Special Pricing",G299="Boutique",G299="leafjoy littles™",G299="Premium"),
    IF(V299&gt;0,"Show","Hide"),
    IF(V299 &gt;= _xlfn.XLOOKUP(F299,'Min table'!C$3:C$5,),"Show","Hide")
)</f>
        <v>Show</v>
      </c>
      <c r="X299" s="317" t="s">
        <v>2050</v>
      </c>
      <c r="Y299" s="317" t="s">
        <v>426</v>
      </c>
    </row>
    <row r="300" spans="3:25" ht="18.75" hidden="1" x14ac:dyDescent="0.3">
      <c r="C300" s="322"/>
      <c r="D300" s="9"/>
      <c r="E300" s="9"/>
      <c r="F300" s="21" t="s">
        <v>75</v>
      </c>
      <c r="G300" s="20" t="s">
        <v>945</v>
      </c>
      <c r="H300" s="377" t="s">
        <v>428</v>
      </c>
      <c r="I300" s="377"/>
      <c r="J300" s="377" t="s">
        <v>429</v>
      </c>
      <c r="K300" s="377"/>
      <c r="L300" s="1"/>
      <c r="M300" s="2"/>
      <c r="N300" s="19">
        <v>8.5</v>
      </c>
      <c r="O300" s="22" t="str">
        <f t="shared" si="9"/>
        <v/>
      </c>
      <c r="P300" s="21" t="s">
        <v>361</v>
      </c>
      <c r="Q300" s="375" t="s">
        <v>224</v>
      </c>
      <c r="R300" s="375"/>
      <c r="S300" s="375"/>
      <c r="T300" s="106"/>
      <c r="U300" s="11"/>
      <c r="V300" s="337">
        <v>9</v>
      </c>
      <c r="W300" s="372" t="str">
        <f>IF(OR(G300="Collectors",G300="Special Pricing",G300="Boutique",G300="leafjoy littles™",G300="Premium"),
    IF(V300&gt;0,"Show","Hide"),
    IF(V300 &gt;= _xlfn.XLOOKUP(F300,'Min table'!C$3:C$5,),"Show","Hide")
)</f>
        <v>Show</v>
      </c>
      <c r="X300" s="317" t="s">
        <v>2051</v>
      </c>
      <c r="Y300" s="317" t="s">
        <v>428</v>
      </c>
    </row>
    <row r="301" spans="3:25" ht="18.75" hidden="1" x14ac:dyDescent="0.3">
      <c r="C301" s="322"/>
      <c r="D301" s="9"/>
      <c r="E301" s="9"/>
      <c r="F301" s="21" t="s">
        <v>75</v>
      </c>
      <c r="G301" s="20" t="s">
        <v>945</v>
      </c>
      <c r="H301" s="376" t="s">
        <v>430</v>
      </c>
      <c r="I301" s="376"/>
      <c r="J301" s="376" t="s">
        <v>431</v>
      </c>
      <c r="K301" s="376"/>
      <c r="L301" s="1"/>
      <c r="M301" s="2"/>
      <c r="N301" s="19">
        <v>8.5</v>
      </c>
      <c r="O301" s="22" t="str">
        <f t="shared" si="9"/>
        <v/>
      </c>
      <c r="P301" s="21" t="s">
        <v>361</v>
      </c>
      <c r="Q301" s="375" t="s">
        <v>224</v>
      </c>
      <c r="R301" s="375"/>
      <c r="S301" s="375"/>
      <c r="T301" s="93"/>
      <c r="U301" s="11"/>
      <c r="V301" s="337">
        <v>0</v>
      </c>
      <c r="W301" s="372" t="str">
        <f>IF(OR(G301="Collectors",G301="Special Pricing",G301="Boutique",G301="leafjoy littles™",G301="Premium"),
    IF(V301&gt;0,"Show","Hide"),
    IF(V301 &gt;= _xlfn.XLOOKUP(F301,'Min table'!C$3:C$5,),"Show","Hide")
)</f>
        <v>Hide</v>
      </c>
      <c r="X301" s="317" t="s">
        <v>2052</v>
      </c>
      <c r="Y301" s="317" t="s">
        <v>430</v>
      </c>
    </row>
    <row r="302" spans="3:25" ht="18.75" hidden="1" x14ac:dyDescent="0.3">
      <c r="C302" s="322"/>
      <c r="D302" s="9"/>
      <c r="E302" s="9"/>
      <c r="F302" s="21" t="s">
        <v>75</v>
      </c>
      <c r="G302" s="20" t="s">
        <v>945</v>
      </c>
      <c r="H302" s="377" t="s">
        <v>432</v>
      </c>
      <c r="I302" s="377"/>
      <c r="J302" s="377" t="s">
        <v>433</v>
      </c>
      <c r="K302" s="377"/>
      <c r="L302" s="1"/>
      <c r="M302" s="2"/>
      <c r="N302" s="19">
        <v>8.5</v>
      </c>
      <c r="O302" s="22" t="str">
        <f t="shared" si="9"/>
        <v/>
      </c>
      <c r="P302" s="21" t="s">
        <v>354</v>
      </c>
      <c r="Q302" s="375" t="s">
        <v>224</v>
      </c>
      <c r="R302" s="375"/>
      <c r="S302" s="375"/>
      <c r="T302" s="106"/>
      <c r="U302" s="11"/>
      <c r="V302" s="337">
        <v>0</v>
      </c>
      <c r="W302" s="372" t="str">
        <f>IF(OR(G302="Collectors",G302="Special Pricing",G302="Boutique",G302="leafjoy littles™",G302="Premium"),
    IF(V302&gt;0,"Show","Hide"),
    IF(V302 &gt;= _xlfn.XLOOKUP(F302,'Min table'!C$3:C$5,),"Show","Hide")
)</f>
        <v>Hide</v>
      </c>
      <c r="X302" s="317" t="s">
        <v>2053</v>
      </c>
      <c r="Y302" s="317" t="s">
        <v>432</v>
      </c>
    </row>
    <row r="303" spans="3:25" ht="18.75" hidden="1" x14ac:dyDescent="0.3">
      <c r="C303" s="322"/>
      <c r="D303" s="9"/>
      <c r="E303" s="9"/>
      <c r="F303" s="21" t="s">
        <v>75</v>
      </c>
      <c r="G303" s="20" t="s">
        <v>945</v>
      </c>
      <c r="H303" s="377" t="s">
        <v>434</v>
      </c>
      <c r="I303" s="377"/>
      <c r="J303" s="377" t="s">
        <v>435</v>
      </c>
      <c r="K303" s="377"/>
      <c r="L303" s="1"/>
      <c r="M303" s="2"/>
      <c r="N303" s="19">
        <v>8.5</v>
      </c>
      <c r="O303" s="22" t="str">
        <f t="shared" si="9"/>
        <v/>
      </c>
      <c r="P303" s="21" t="s">
        <v>361</v>
      </c>
      <c r="Q303" s="375" t="s">
        <v>224</v>
      </c>
      <c r="R303" s="375"/>
      <c r="S303" s="375"/>
      <c r="T303" s="93"/>
      <c r="U303" s="11"/>
      <c r="V303" s="337">
        <v>20</v>
      </c>
      <c r="W303" s="372" t="str">
        <f>IF(OR(G303="Collectors",G303="Special Pricing",G303="Boutique",G303="leafjoy littles™",G303="Premium"),
    IF(V303&gt;0,"Show","Hide"),
    IF(V303 &gt;= _xlfn.XLOOKUP(F303,'Min table'!C$3:C$5,),"Show","Hide")
)</f>
        <v>Show</v>
      </c>
      <c r="X303" s="317" t="s">
        <v>2054</v>
      </c>
      <c r="Y303" s="317" t="s">
        <v>434</v>
      </c>
    </row>
    <row r="304" spans="3:25" ht="18.75" hidden="1" x14ac:dyDescent="0.3">
      <c r="C304" s="322"/>
      <c r="D304" s="9"/>
      <c r="E304" s="9"/>
      <c r="F304" s="21" t="s">
        <v>75</v>
      </c>
      <c r="G304" s="20" t="s">
        <v>945</v>
      </c>
      <c r="H304" s="377" t="s">
        <v>436</v>
      </c>
      <c r="I304" s="377"/>
      <c r="J304" s="377" t="s">
        <v>437</v>
      </c>
      <c r="K304" s="377"/>
      <c r="L304" s="1"/>
      <c r="M304" s="2"/>
      <c r="N304" s="19">
        <v>8.5</v>
      </c>
      <c r="O304" s="22" t="str">
        <f t="shared" si="9"/>
        <v/>
      </c>
      <c r="P304" s="21" t="s">
        <v>438</v>
      </c>
      <c r="Q304" s="375" t="s">
        <v>224</v>
      </c>
      <c r="R304" s="375"/>
      <c r="S304" s="375"/>
      <c r="T304" s="93"/>
      <c r="U304" s="11"/>
      <c r="V304" s="337">
        <v>0</v>
      </c>
      <c r="W304" s="372" t="str">
        <f>IF(OR(G304="Collectors",G304="Special Pricing",G304="Boutique",G304="leafjoy littles™",G304="Premium"),
    IF(V304&gt;0,"Show","Hide"),
    IF(V304 &gt;= _xlfn.XLOOKUP(F304,'Min table'!C$3:C$5,),"Show","Hide")
)</f>
        <v>Hide</v>
      </c>
      <c r="X304" s="317" t="s">
        <v>2055</v>
      </c>
      <c r="Y304" s="317" t="s">
        <v>436</v>
      </c>
    </row>
    <row r="305" spans="3:25" ht="18.75" x14ac:dyDescent="0.3">
      <c r="C305" s="322"/>
      <c r="D305" s="9"/>
      <c r="E305" s="9"/>
      <c r="F305" s="21" t="s">
        <v>75</v>
      </c>
      <c r="G305" s="20" t="s">
        <v>942</v>
      </c>
      <c r="H305" s="376" t="s">
        <v>439</v>
      </c>
      <c r="I305" s="376"/>
      <c r="J305" s="376" t="s">
        <v>440</v>
      </c>
      <c r="K305" s="376"/>
      <c r="L305" s="1"/>
      <c r="M305" s="2"/>
      <c r="N305" s="19">
        <v>11.5</v>
      </c>
      <c r="O305" s="22" t="str">
        <f t="shared" si="9"/>
        <v/>
      </c>
      <c r="P305" s="21" t="s">
        <v>401</v>
      </c>
      <c r="Q305" s="375" t="s">
        <v>242</v>
      </c>
      <c r="R305" s="375"/>
      <c r="S305" s="375"/>
      <c r="T305" s="106"/>
      <c r="U305" s="11"/>
      <c r="V305" s="337">
        <v>24</v>
      </c>
      <c r="W305" s="372" t="str">
        <f>IF(OR(G305="Collectors",G305="Special Pricing",G305="Boutique",G305="leafjoy littles™",G305="Premium"),
    IF(V305&gt;0,"Show","Hide"),
    IF(V305 &gt;= _xlfn.XLOOKUP(F305,'Min table'!C$3:C$5,),"Show","Hide")
)</f>
        <v>Show</v>
      </c>
      <c r="X305" s="317" t="s">
        <v>2056</v>
      </c>
      <c r="Y305" s="317" t="s">
        <v>439</v>
      </c>
    </row>
    <row r="306" spans="3:25" ht="18.75" x14ac:dyDescent="0.3">
      <c r="C306" s="322"/>
      <c r="D306" s="9"/>
      <c r="E306" s="9"/>
      <c r="F306" s="21" t="s">
        <v>75</v>
      </c>
      <c r="G306" s="20" t="s">
        <v>942</v>
      </c>
      <c r="H306" s="376" t="s">
        <v>441</v>
      </c>
      <c r="I306" s="376"/>
      <c r="J306" s="376" t="s">
        <v>442</v>
      </c>
      <c r="K306" s="376"/>
      <c r="L306" s="1"/>
      <c r="M306" s="2"/>
      <c r="N306" s="19">
        <v>11.5</v>
      </c>
      <c r="O306" s="22" t="str">
        <f t="shared" si="9"/>
        <v/>
      </c>
      <c r="P306" s="20" t="s">
        <v>443</v>
      </c>
      <c r="Q306" s="375" t="s">
        <v>242</v>
      </c>
      <c r="R306" s="375"/>
      <c r="S306" s="375"/>
      <c r="T306" s="106"/>
      <c r="U306" s="11"/>
      <c r="V306" s="337">
        <v>23</v>
      </c>
      <c r="W306" s="372" t="str">
        <f>IF(OR(G306="Collectors",G306="Special Pricing",G306="Boutique",G306="leafjoy littles™",G306="Premium"),
    IF(V306&gt;0,"Show","Hide"),
    IF(V306 &gt;= _xlfn.XLOOKUP(F306,'Min table'!C$3:C$5,),"Show","Hide")
)</f>
        <v>Show</v>
      </c>
      <c r="X306" s="317" t="s">
        <v>2057</v>
      </c>
      <c r="Y306" s="317" t="s">
        <v>441</v>
      </c>
    </row>
    <row r="307" spans="3:25" ht="18.75" hidden="1" x14ac:dyDescent="0.3">
      <c r="C307" s="322"/>
      <c r="D307" s="9"/>
      <c r="E307" s="9"/>
      <c r="F307" s="21" t="s">
        <v>75</v>
      </c>
      <c r="G307" s="20" t="s">
        <v>1852</v>
      </c>
      <c r="H307" s="377" t="s">
        <v>1729</v>
      </c>
      <c r="I307" s="377"/>
      <c r="J307" s="377" t="s">
        <v>1729</v>
      </c>
      <c r="K307" s="377"/>
      <c r="L307" s="1"/>
      <c r="M307" s="2"/>
      <c r="N307" s="19">
        <v>16.25</v>
      </c>
      <c r="O307" s="22" t="str">
        <f t="shared" si="9"/>
        <v/>
      </c>
      <c r="P307" s="43"/>
      <c r="Q307" s="375" t="s">
        <v>242</v>
      </c>
      <c r="R307" s="375"/>
      <c r="S307" s="375"/>
      <c r="T307" s="106"/>
      <c r="U307" s="11"/>
      <c r="V307" s="337">
        <v>0</v>
      </c>
      <c r="W307" s="372" t="e">
        <f>IF(OR(G307="Collectors",G307="Special Pricing",G307="Boutique",G307="leafjoy littles™",G307="Premium"),
    IF(V307&gt;0,"Show","Hide"),
    IF(V307 &gt;= _xlfn.XLOOKUP(F307,'Min table'!C$3:C$5,),"Show","Hide")
)</f>
        <v>#VALUE!</v>
      </c>
      <c r="X307" s="317" t="s">
        <v>2058</v>
      </c>
      <c r="Y307" s="317" t="s">
        <v>1729</v>
      </c>
    </row>
    <row r="308" spans="3:25" ht="18.75" hidden="1" x14ac:dyDescent="0.3">
      <c r="C308" s="322"/>
      <c r="D308" s="9"/>
      <c r="E308" s="9"/>
      <c r="F308" s="21" t="s">
        <v>75</v>
      </c>
      <c r="G308" s="20" t="s">
        <v>945</v>
      </c>
      <c r="H308" s="377" t="s">
        <v>161</v>
      </c>
      <c r="I308" s="377"/>
      <c r="J308" s="377" t="s">
        <v>444</v>
      </c>
      <c r="K308" s="377"/>
      <c r="L308" s="1"/>
      <c r="M308" s="2"/>
      <c r="N308" s="19">
        <v>8.5</v>
      </c>
      <c r="O308" s="22" t="str">
        <f t="shared" si="9"/>
        <v/>
      </c>
      <c r="P308" s="20" t="s">
        <v>445</v>
      </c>
      <c r="Q308" s="375" t="s">
        <v>224</v>
      </c>
      <c r="R308" s="375"/>
      <c r="S308" s="375"/>
      <c r="T308" s="93"/>
      <c r="U308" s="11"/>
      <c r="V308" s="337">
        <v>0</v>
      </c>
      <c r="W308" s="372" t="str">
        <f>IF(OR(G308="Collectors",G308="Special Pricing",G308="Boutique",G308="leafjoy littles™",G308="Premium"),
    IF(V308&gt;0,"Show","Hide"),
    IF(V308 &gt;= _xlfn.XLOOKUP(F308,'Min table'!C$3:C$5,),"Show","Hide")
)</f>
        <v>Hide</v>
      </c>
      <c r="X308" s="317" t="s">
        <v>2059</v>
      </c>
      <c r="Y308" s="317" t="s">
        <v>161</v>
      </c>
    </row>
    <row r="309" spans="3:25" ht="18.75" hidden="1" x14ac:dyDescent="0.3">
      <c r="C309" s="322"/>
      <c r="D309" s="9"/>
      <c r="E309" s="9"/>
      <c r="F309" s="21" t="s">
        <v>75</v>
      </c>
      <c r="G309" s="20" t="s">
        <v>942</v>
      </c>
      <c r="H309" s="377" t="s">
        <v>446</v>
      </c>
      <c r="I309" s="377"/>
      <c r="J309" s="377" t="s">
        <v>447</v>
      </c>
      <c r="K309" s="377"/>
      <c r="L309" s="1"/>
      <c r="M309" s="2"/>
      <c r="N309" s="19">
        <v>11.5</v>
      </c>
      <c r="O309" s="22" t="str">
        <f t="shared" si="9"/>
        <v/>
      </c>
      <c r="P309" s="21" t="s">
        <v>448</v>
      </c>
      <c r="Q309" s="375" t="s">
        <v>242</v>
      </c>
      <c r="R309" s="375"/>
      <c r="S309" s="375"/>
      <c r="T309" s="93"/>
      <c r="U309" s="11"/>
      <c r="V309" s="337">
        <v>0</v>
      </c>
      <c r="W309" s="372" t="str">
        <f>IF(OR(G309="Collectors",G309="Special Pricing",G309="Boutique",G309="leafjoy littles™",G309="Premium"),
    IF(V309&gt;0,"Show","Hide"),
    IF(V309 &gt;= _xlfn.XLOOKUP(F309,'Min table'!C$3:C$5,),"Show","Hide")
)</f>
        <v>Hide</v>
      </c>
      <c r="X309" s="317" t="s">
        <v>2060</v>
      </c>
      <c r="Y309" s="317" t="s">
        <v>446</v>
      </c>
    </row>
    <row r="310" spans="3:25" ht="18.75" x14ac:dyDescent="0.3">
      <c r="C310" s="322"/>
      <c r="D310" s="9"/>
      <c r="E310" s="9"/>
      <c r="F310" s="21" t="s">
        <v>75</v>
      </c>
      <c r="G310" s="20" t="s">
        <v>945</v>
      </c>
      <c r="H310" s="376" t="s">
        <v>449</v>
      </c>
      <c r="I310" s="376"/>
      <c r="J310" s="376" t="s">
        <v>450</v>
      </c>
      <c r="K310" s="376"/>
      <c r="L310" s="1"/>
      <c r="M310" s="2"/>
      <c r="N310" s="19">
        <v>8.5</v>
      </c>
      <c r="O310" s="22" t="str">
        <f t="shared" si="9"/>
        <v/>
      </c>
      <c r="P310" s="21" t="s">
        <v>448</v>
      </c>
      <c r="Q310" s="375" t="s">
        <v>224</v>
      </c>
      <c r="R310" s="375"/>
      <c r="S310" s="375"/>
      <c r="T310" s="93"/>
      <c r="U310" s="11"/>
      <c r="V310" s="337">
        <v>35</v>
      </c>
      <c r="W310" s="372" t="str">
        <f>IF(OR(G310="Collectors",G310="Special Pricing",G310="Boutique",G310="leafjoy littles™",G310="Premium"),
    IF(V310&gt;0,"Show","Hide"),
    IF(V310 &gt;= _xlfn.XLOOKUP(F310,'Min table'!C$3:C$5,),"Show","Hide")
)</f>
        <v>Show</v>
      </c>
      <c r="X310" s="317" t="s">
        <v>2061</v>
      </c>
      <c r="Y310" s="317" t="s">
        <v>449</v>
      </c>
    </row>
    <row r="311" spans="3:25" ht="18.75" hidden="1" x14ac:dyDescent="0.3">
      <c r="C311" s="322"/>
      <c r="D311" s="9"/>
      <c r="E311" s="9"/>
      <c r="F311" s="21" t="s">
        <v>75</v>
      </c>
      <c r="G311" s="20" t="s">
        <v>945</v>
      </c>
      <c r="H311" s="377" t="s">
        <v>451</v>
      </c>
      <c r="I311" s="377"/>
      <c r="J311" s="377" t="s">
        <v>452</v>
      </c>
      <c r="K311" s="377"/>
      <c r="L311" s="1"/>
      <c r="M311" s="2"/>
      <c r="N311" s="19">
        <v>8.5</v>
      </c>
      <c r="O311" s="22" t="str">
        <f t="shared" si="9"/>
        <v/>
      </c>
      <c r="P311" s="21" t="s">
        <v>448</v>
      </c>
      <c r="Q311" s="375" t="s">
        <v>224</v>
      </c>
      <c r="R311" s="375"/>
      <c r="S311" s="375"/>
      <c r="T311" s="93"/>
      <c r="U311" s="11"/>
      <c r="V311" s="337">
        <v>0</v>
      </c>
      <c r="W311" s="372" t="str">
        <f>IF(OR(G311="Collectors",G311="Special Pricing",G311="Boutique",G311="leafjoy littles™",G311="Premium"),
    IF(V311&gt;0,"Show","Hide"),
    IF(V311 &gt;= _xlfn.XLOOKUP(F311,'Min table'!C$3:C$5,),"Show","Hide")
)</f>
        <v>Hide</v>
      </c>
      <c r="X311" s="317" t="s">
        <v>2062</v>
      </c>
      <c r="Y311" s="317" t="s">
        <v>451</v>
      </c>
    </row>
    <row r="312" spans="3:25" ht="18.75" x14ac:dyDescent="0.3">
      <c r="C312" s="322"/>
      <c r="D312" s="9"/>
      <c r="E312" s="9"/>
      <c r="F312" s="21" t="s">
        <v>75</v>
      </c>
      <c r="G312" s="20" t="s">
        <v>942</v>
      </c>
      <c r="H312" s="376" t="s">
        <v>2795</v>
      </c>
      <c r="I312" s="376"/>
      <c r="J312" s="376" t="s">
        <v>454</v>
      </c>
      <c r="K312" s="376"/>
      <c r="L312" s="1"/>
      <c r="M312" s="2"/>
      <c r="N312" s="19">
        <v>11.5</v>
      </c>
      <c r="O312" s="22" t="str">
        <f t="shared" si="9"/>
        <v/>
      </c>
      <c r="P312" s="21" t="s">
        <v>448</v>
      </c>
      <c r="Q312" s="375" t="s">
        <v>242</v>
      </c>
      <c r="R312" s="375"/>
      <c r="S312" s="375"/>
      <c r="T312" s="93"/>
      <c r="U312" s="11"/>
      <c r="V312" s="337">
        <v>12</v>
      </c>
      <c r="W312" s="372" t="str">
        <f>IF(OR(G312="Collectors",G312="Special Pricing",G312="Boutique",G312="leafjoy littles™",G312="Premium"),
    IF(V312&gt;0,"Show","Hide"),
    IF(V312 &gt;= _xlfn.XLOOKUP(F312,'Min table'!C$3:C$5,),"Show","Hide")
)</f>
        <v>Show</v>
      </c>
      <c r="X312" s="317" t="s">
        <v>2063</v>
      </c>
      <c r="Y312" s="317" t="s">
        <v>453</v>
      </c>
    </row>
    <row r="313" spans="3:25" ht="18.75" hidden="1" x14ac:dyDescent="0.3">
      <c r="C313" s="322"/>
      <c r="D313" s="9"/>
      <c r="E313" s="9"/>
      <c r="F313" s="21" t="s">
        <v>75</v>
      </c>
      <c r="G313" s="20" t="s">
        <v>1852</v>
      </c>
      <c r="H313" s="377" t="s">
        <v>1732</v>
      </c>
      <c r="I313" s="377"/>
      <c r="J313" s="377"/>
      <c r="K313" s="377"/>
      <c r="L313" s="1"/>
      <c r="M313" s="2"/>
      <c r="N313" s="19">
        <v>16.25</v>
      </c>
      <c r="O313" s="22" t="str">
        <f t="shared" si="9"/>
        <v/>
      </c>
      <c r="P313" s="37" t="s">
        <v>1896</v>
      </c>
      <c r="Q313" s="378" t="s">
        <v>1895</v>
      </c>
      <c r="R313" s="379"/>
      <c r="S313" s="379"/>
      <c r="T313" s="94"/>
      <c r="U313" s="11"/>
      <c r="V313" s="337">
        <v>0</v>
      </c>
      <c r="W313" s="372" t="e">
        <f>IF(OR(G313="Collectors",G313="Special Pricing",G313="Boutique",G313="leafjoy littles™",G313="Premium"),
    IF(V313&gt;0,"Show","Hide"),
    IF(V313 &gt;= _xlfn.XLOOKUP(F313,'Min table'!C$3:C$5,),"Show","Hide")
)</f>
        <v>#VALUE!</v>
      </c>
      <c r="X313" s="317" t="s">
        <v>2064</v>
      </c>
      <c r="Y313" s="317" t="s">
        <v>1732</v>
      </c>
    </row>
    <row r="314" spans="3:25" ht="18.75" x14ac:dyDescent="0.3">
      <c r="C314" s="322"/>
      <c r="D314" s="9"/>
      <c r="E314" s="9"/>
      <c r="F314" s="21" t="s">
        <v>75</v>
      </c>
      <c r="G314" s="20" t="s">
        <v>942</v>
      </c>
      <c r="H314" s="377" t="s">
        <v>455</v>
      </c>
      <c r="I314" s="377"/>
      <c r="J314" s="377" t="s">
        <v>456</v>
      </c>
      <c r="K314" s="377"/>
      <c r="L314" s="1"/>
      <c r="M314" s="2"/>
      <c r="N314" s="19">
        <v>11.5</v>
      </c>
      <c r="O314" s="22" t="str">
        <f t="shared" si="9"/>
        <v/>
      </c>
      <c r="P314" s="21" t="s">
        <v>448</v>
      </c>
      <c r="Q314" s="375" t="s">
        <v>242</v>
      </c>
      <c r="R314" s="375"/>
      <c r="S314" s="375"/>
      <c r="T314" s="106"/>
      <c r="U314" s="11"/>
      <c r="V314" s="337">
        <v>47</v>
      </c>
      <c r="W314" s="372" t="str">
        <f>IF(OR(G314="Collectors",G314="Special Pricing",G314="Boutique",G314="leafjoy littles™",G314="Premium"),
    IF(V314&gt;0,"Show","Hide"),
    IF(V314 &gt;= _xlfn.XLOOKUP(F314,'Min table'!C$3:C$5,),"Show","Hide")
)</f>
        <v>Show</v>
      </c>
      <c r="X314" s="317" t="s">
        <v>2065</v>
      </c>
      <c r="Y314" s="317" t="s">
        <v>455</v>
      </c>
    </row>
    <row r="315" spans="3:25" ht="18.75" x14ac:dyDescent="0.3">
      <c r="C315" s="322"/>
      <c r="D315" s="9"/>
      <c r="E315" s="9"/>
      <c r="F315" s="21" t="s">
        <v>75</v>
      </c>
      <c r="G315" s="20" t="s">
        <v>942</v>
      </c>
      <c r="H315" s="377" t="s">
        <v>457</v>
      </c>
      <c r="I315" s="377"/>
      <c r="J315" s="377" t="s">
        <v>458</v>
      </c>
      <c r="K315" s="377"/>
      <c r="L315" s="1"/>
      <c r="M315" s="2"/>
      <c r="N315" s="19">
        <v>11.5</v>
      </c>
      <c r="O315" s="22" t="str">
        <f t="shared" si="9"/>
        <v/>
      </c>
      <c r="P315" s="21" t="s">
        <v>448</v>
      </c>
      <c r="Q315" s="375" t="s">
        <v>242</v>
      </c>
      <c r="R315" s="375"/>
      <c r="S315" s="375"/>
      <c r="T315" s="106"/>
      <c r="U315" s="11"/>
      <c r="V315" s="337">
        <v>19</v>
      </c>
      <c r="W315" s="372" t="str">
        <f>IF(OR(G315="Collectors",G315="Special Pricing",G315="Boutique",G315="leafjoy littles™",G315="Premium"),
    IF(V315&gt;0,"Show","Hide"),
    IF(V315 &gt;= _xlfn.XLOOKUP(F315,'Min table'!C$3:C$5,),"Show","Hide")
)</f>
        <v>Show</v>
      </c>
      <c r="X315" s="317" t="s">
        <v>2066</v>
      </c>
      <c r="Y315" s="317" t="s">
        <v>457</v>
      </c>
    </row>
    <row r="316" spans="3:25" ht="18.75" hidden="1" x14ac:dyDescent="0.3">
      <c r="C316" s="322"/>
      <c r="D316" s="9"/>
      <c r="E316" s="9"/>
      <c r="F316" s="21" t="s">
        <v>75</v>
      </c>
      <c r="G316" s="20" t="s">
        <v>1852</v>
      </c>
      <c r="H316" s="377" t="s">
        <v>1730</v>
      </c>
      <c r="I316" s="377"/>
      <c r="J316" s="377"/>
      <c r="K316" s="377"/>
      <c r="L316" s="1"/>
      <c r="M316" s="2"/>
      <c r="N316" s="19">
        <v>16.25</v>
      </c>
      <c r="O316" s="22" t="str">
        <f t="shared" si="9"/>
        <v/>
      </c>
      <c r="P316" s="37" t="s">
        <v>1896</v>
      </c>
      <c r="Q316" s="378" t="s">
        <v>1895</v>
      </c>
      <c r="R316" s="379"/>
      <c r="S316" s="379"/>
      <c r="T316" s="175"/>
      <c r="U316" s="11"/>
      <c r="V316" s="337">
        <v>-1</v>
      </c>
      <c r="W316" s="372" t="e">
        <f>IF(OR(G316="Collectors",G316="Special Pricing",G316="Boutique",G316="leafjoy littles™",G316="Premium"),
    IF(V316&gt;0,"Show","Hide"),
    IF(V316 &gt;= _xlfn.XLOOKUP(F316,'Min table'!C$3:C$5,),"Show","Hide")
)</f>
        <v>#VALUE!</v>
      </c>
      <c r="X316" s="317" t="s">
        <v>2067</v>
      </c>
      <c r="Y316" s="317" t="s">
        <v>1730</v>
      </c>
    </row>
    <row r="317" spans="3:25" ht="18.75" hidden="1" x14ac:dyDescent="0.3">
      <c r="C317" s="322"/>
      <c r="D317" s="9"/>
      <c r="E317" s="9"/>
      <c r="F317" s="21" t="s">
        <v>75</v>
      </c>
      <c r="G317" s="20" t="s">
        <v>942</v>
      </c>
      <c r="H317" s="377" t="s">
        <v>459</v>
      </c>
      <c r="I317" s="377"/>
      <c r="J317" s="377" t="s">
        <v>460</v>
      </c>
      <c r="K317" s="377"/>
      <c r="L317" s="1"/>
      <c r="M317" s="2"/>
      <c r="N317" s="19">
        <v>11.5</v>
      </c>
      <c r="O317" s="22" t="str">
        <f t="shared" si="9"/>
        <v/>
      </c>
      <c r="P317" s="21" t="s">
        <v>448</v>
      </c>
      <c r="Q317" s="375" t="s">
        <v>242</v>
      </c>
      <c r="R317" s="375"/>
      <c r="S317" s="375"/>
      <c r="T317" s="106"/>
      <c r="U317" s="11"/>
      <c r="V317" s="337">
        <v>5</v>
      </c>
      <c r="W317" s="372" t="str">
        <f>IF(OR(G317="Collectors",G317="Special Pricing",G317="Boutique",G317="leafjoy littles™",G317="Premium"),
    IF(V317&gt;0,"Show","Hide"),
    IF(V317 &gt;= _xlfn.XLOOKUP(F317,'Min table'!C$3:C$5,),"Show","Hide")
)</f>
        <v>Show</v>
      </c>
      <c r="X317" s="317" t="s">
        <v>2068</v>
      </c>
      <c r="Y317" s="317" t="s">
        <v>459</v>
      </c>
    </row>
    <row r="318" spans="3:25" ht="18.75" hidden="1" x14ac:dyDescent="0.3">
      <c r="C318" s="322"/>
      <c r="D318" s="9"/>
      <c r="E318" s="9"/>
      <c r="F318" s="21" t="s">
        <v>75</v>
      </c>
      <c r="G318" s="20" t="s">
        <v>1852</v>
      </c>
      <c r="H318" s="376" t="s">
        <v>1731</v>
      </c>
      <c r="I318" s="376"/>
      <c r="J318" s="376"/>
      <c r="K318" s="376"/>
      <c r="L318" s="1"/>
      <c r="M318" s="2"/>
      <c r="N318" s="19">
        <v>16.25</v>
      </c>
      <c r="O318" s="22" t="str">
        <f t="shared" si="9"/>
        <v/>
      </c>
      <c r="P318" s="37" t="s">
        <v>1896</v>
      </c>
      <c r="Q318" s="378" t="s">
        <v>1895</v>
      </c>
      <c r="R318" s="379"/>
      <c r="S318" s="379"/>
      <c r="T318" s="94"/>
      <c r="U318" s="11"/>
      <c r="V318" s="337">
        <v>0</v>
      </c>
      <c r="W318" s="372" t="e">
        <f>IF(OR(G318="Collectors",G318="Special Pricing",G318="Boutique",G318="leafjoy littles™",G318="Premium"),
    IF(V318&gt;0,"Show","Hide"),
    IF(V318 &gt;= _xlfn.XLOOKUP(F318,'Min table'!C$3:C$5,),"Show","Hide")
)</f>
        <v>#VALUE!</v>
      </c>
      <c r="X318" s="317" t="s">
        <v>2069</v>
      </c>
      <c r="Y318" s="317" t="s">
        <v>1731</v>
      </c>
    </row>
    <row r="319" spans="3:25" ht="18.75" hidden="1" x14ac:dyDescent="0.3">
      <c r="C319" s="322"/>
      <c r="D319" s="9"/>
      <c r="E319" s="9"/>
      <c r="F319" s="21" t="s">
        <v>75</v>
      </c>
      <c r="G319" s="20" t="s">
        <v>942</v>
      </c>
      <c r="H319" s="377" t="s">
        <v>461</v>
      </c>
      <c r="I319" s="377"/>
      <c r="J319" s="377" t="s">
        <v>462</v>
      </c>
      <c r="K319" s="377"/>
      <c r="L319" s="1"/>
      <c r="M319" s="2"/>
      <c r="N319" s="19">
        <v>11.5</v>
      </c>
      <c r="O319" s="22" t="str">
        <f t="shared" si="9"/>
        <v/>
      </c>
      <c r="P319" s="21" t="s">
        <v>448</v>
      </c>
      <c r="Q319" s="375" t="s">
        <v>242</v>
      </c>
      <c r="R319" s="375"/>
      <c r="S319" s="375"/>
      <c r="T319" s="93"/>
      <c r="U319" s="11"/>
      <c r="V319" s="337">
        <v>0</v>
      </c>
      <c r="W319" s="372" t="str">
        <f>IF(OR(G319="Collectors",G319="Special Pricing",G319="Boutique",G319="leafjoy littles™",G319="Premium"),
    IF(V319&gt;0,"Show","Hide"),
    IF(V319 &gt;= _xlfn.XLOOKUP(F319,'Min table'!C$3:C$5,),"Show","Hide")
)</f>
        <v>Hide</v>
      </c>
      <c r="X319" s="317" t="s">
        <v>2070</v>
      </c>
      <c r="Y319" s="317" t="s">
        <v>461</v>
      </c>
    </row>
    <row r="320" spans="3:25" ht="18.75" hidden="1" x14ac:dyDescent="0.3">
      <c r="C320" s="322"/>
      <c r="D320" s="9"/>
      <c r="E320" s="9"/>
      <c r="F320" s="21" t="s">
        <v>75</v>
      </c>
      <c r="G320" s="20" t="s">
        <v>945</v>
      </c>
      <c r="H320" s="377" t="s">
        <v>463</v>
      </c>
      <c r="I320" s="377"/>
      <c r="J320" s="377" t="s">
        <v>464</v>
      </c>
      <c r="K320" s="377"/>
      <c r="L320" s="1"/>
      <c r="M320" s="2"/>
      <c r="N320" s="19">
        <v>8.5</v>
      </c>
      <c r="O320" s="22" t="str">
        <f t="shared" si="9"/>
        <v/>
      </c>
      <c r="P320" s="20" t="s">
        <v>448</v>
      </c>
      <c r="Q320" s="375" t="s">
        <v>224</v>
      </c>
      <c r="R320" s="375"/>
      <c r="S320" s="375"/>
      <c r="T320" s="93"/>
      <c r="U320" s="11"/>
      <c r="V320" s="337">
        <v>0</v>
      </c>
      <c r="W320" s="372" t="str">
        <f>IF(OR(G320="Collectors",G320="Special Pricing",G320="Boutique",G320="leafjoy littles™",G320="Premium"),
    IF(V320&gt;0,"Show","Hide"),
    IF(V320 &gt;= _xlfn.XLOOKUP(F320,'Min table'!C$3:C$5,),"Show","Hide")
)</f>
        <v>Hide</v>
      </c>
      <c r="X320" s="317" t="s">
        <v>2071</v>
      </c>
      <c r="Y320" s="317" t="s">
        <v>463</v>
      </c>
    </row>
    <row r="321" spans="3:25" ht="18.75" hidden="1" x14ac:dyDescent="0.3">
      <c r="C321" s="322"/>
      <c r="D321" s="9"/>
      <c r="E321" s="9"/>
      <c r="F321" s="21" t="s">
        <v>75</v>
      </c>
      <c r="G321" s="20" t="s">
        <v>1853</v>
      </c>
      <c r="H321" s="377" t="s">
        <v>1733</v>
      </c>
      <c r="I321" s="377"/>
      <c r="J321" s="377"/>
      <c r="K321" s="377"/>
      <c r="L321" s="1"/>
      <c r="M321" s="2"/>
      <c r="N321" s="19">
        <v>13.25</v>
      </c>
      <c r="O321" s="22" t="str">
        <f t="shared" si="9"/>
        <v/>
      </c>
      <c r="P321" s="37" t="s">
        <v>1896</v>
      </c>
      <c r="Q321" s="378" t="s">
        <v>242</v>
      </c>
      <c r="R321" s="379"/>
      <c r="S321" s="379"/>
      <c r="T321" s="175"/>
      <c r="U321" s="11"/>
      <c r="V321" s="337">
        <v>0</v>
      </c>
      <c r="W321" s="372" t="e">
        <f>IF(OR(G321="Collectors",G321="Special Pricing",G321="Boutique",G321="leafjoy littles™",G321="Premium"),
    IF(V321&gt;0,"Show","Hide"),
    IF(V321 &gt;= _xlfn.XLOOKUP(F321,'Min table'!C$3:C$5,),"Show","Hide")
)</f>
        <v>#VALUE!</v>
      </c>
      <c r="X321" s="317" t="s">
        <v>2072</v>
      </c>
      <c r="Y321" s="317" t="s">
        <v>1733</v>
      </c>
    </row>
    <row r="322" spans="3:25" ht="18.75" hidden="1" x14ac:dyDescent="0.3">
      <c r="C322" s="322"/>
      <c r="D322" s="9"/>
      <c r="E322" s="9"/>
      <c r="F322" s="21" t="s">
        <v>75</v>
      </c>
      <c r="G322" s="20" t="s">
        <v>945</v>
      </c>
      <c r="H322" s="377" t="s">
        <v>465</v>
      </c>
      <c r="I322" s="377"/>
      <c r="J322" s="377" t="s">
        <v>466</v>
      </c>
      <c r="K322" s="377"/>
      <c r="L322" s="1"/>
      <c r="M322" s="2"/>
      <c r="N322" s="19">
        <v>8.5</v>
      </c>
      <c r="O322" s="22" t="str">
        <f t="shared" si="9"/>
        <v/>
      </c>
      <c r="P322" s="20" t="s">
        <v>448</v>
      </c>
      <c r="Q322" s="375" t="s">
        <v>224</v>
      </c>
      <c r="R322" s="375"/>
      <c r="S322" s="375"/>
      <c r="T322" s="106"/>
      <c r="U322" s="11"/>
      <c r="V322" s="337">
        <v>0</v>
      </c>
      <c r="W322" s="372" t="str">
        <f>IF(OR(G322="Collectors",G322="Special Pricing",G322="Boutique",G322="leafjoy littles™",G322="Premium"),
    IF(V322&gt;0,"Show","Hide"),
    IF(V322 &gt;= _xlfn.XLOOKUP(F322,'Min table'!C$3:C$5,),"Show","Hide")
)</f>
        <v>Hide</v>
      </c>
      <c r="X322" s="317" t="s">
        <v>2073</v>
      </c>
      <c r="Y322" s="317" t="s">
        <v>465</v>
      </c>
    </row>
    <row r="323" spans="3:25" ht="18.75" hidden="1" x14ac:dyDescent="0.3">
      <c r="C323" s="322"/>
      <c r="D323" s="9"/>
      <c r="E323" s="9"/>
      <c r="F323" s="21" t="s">
        <v>75</v>
      </c>
      <c r="G323" s="20" t="s">
        <v>945</v>
      </c>
      <c r="H323" s="377" t="s">
        <v>467</v>
      </c>
      <c r="I323" s="377"/>
      <c r="J323" s="377" t="s">
        <v>468</v>
      </c>
      <c r="K323" s="377"/>
      <c r="L323" s="1"/>
      <c r="M323" s="2"/>
      <c r="N323" s="19">
        <v>8.5</v>
      </c>
      <c r="O323" s="22" t="str">
        <f t="shared" si="9"/>
        <v/>
      </c>
      <c r="P323" s="20" t="s">
        <v>448</v>
      </c>
      <c r="Q323" s="375" t="s">
        <v>224</v>
      </c>
      <c r="R323" s="375"/>
      <c r="S323" s="375"/>
      <c r="T323" s="93"/>
      <c r="U323" s="11"/>
      <c r="V323" s="337">
        <v>1</v>
      </c>
      <c r="W323" s="372" t="str">
        <f>IF(OR(G323="Collectors",G323="Special Pricing",G323="Boutique",G323="leafjoy littles™",G323="Premium"),
    IF(V323&gt;0,"Show","Hide"),
    IF(V323 &gt;= _xlfn.XLOOKUP(F323,'Min table'!C$3:C$5,),"Show","Hide")
)</f>
        <v>Show</v>
      </c>
      <c r="X323" s="317" t="s">
        <v>1942</v>
      </c>
      <c r="Y323" s="317" t="s">
        <v>467</v>
      </c>
    </row>
    <row r="324" spans="3:25" ht="18.75" hidden="1" x14ac:dyDescent="0.3">
      <c r="C324" s="322"/>
      <c r="D324" s="9"/>
      <c r="E324" s="9"/>
      <c r="F324" s="21" t="s">
        <v>75</v>
      </c>
      <c r="G324" s="20" t="s">
        <v>991</v>
      </c>
      <c r="H324" s="377" t="s">
        <v>469</v>
      </c>
      <c r="I324" s="377"/>
      <c r="J324" s="377" t="s">
        <v>470</v>
      </c>
      <c r="K324" s="377"/>
      <c r="L324" s="1"/>
      <c r="M324" s="2"/>
      <c r="N324" s="19">
        <v>20</v>
      </c>
      <c r="O324" s="22" t="str">
        <f t="shared" si="9"/>
        <v/>
      </c>
      <c r="P324" s="20" t="s">
        <v>349</v>
      </c>
      <c r="Q324" s="375" t="s">
        <v>341</v>
      </c>
      <c r="R324" s="375"/>
      <c r="S324" s="375"/>
      <c r="T324" s="106"/>
      <c r="U324" s="11"/>
      <c r="V324" s="337">
        <v>109</v>
      </c>
      <c r="W324" s="372" t="str">
        <f>IF(OR(G324="Collectors",G324="Special Pricing",G324="Boutique",G324="leafjoy littles™",G324="Premium"),
    IF(V324&gt;0,"Show","Hide"),
    IF(V324 &gt;= _xlfn.XLOOKUP(F324,'Min table'!C$3:C$5,),"Show","Hide")
)</f>
        <v>Show</v>
      </c>
      <c r="X324" s="317" t="s">
        <v>2074</v>
      </c>
      <c r="Y324" s="317" t="s">
        <v>469</v>
      </c>
    </row>
    <row r="325" spans="3:25" ht="18.75" hidden="1" x14ac:dyDescent="0.3">
      <c r="C325" s="322"/>
      <c r="D325" s="9"/>
      <c r="E325" s="9"/>
      <c r="F325" s="21" t="s">
        <v>75</v>
      </c>
      <c r="G325" s="20" t="s">
        <v>945</v>
      </c>
      <c r="H325" s="377" t="s">
        <v>471</v>
      </c>
      <c r="I325" s="377"/>
      <c r="J325" s="377" t="s">
        <v>472</v>
      </c>
      <c r="K325" s="377"/>
      <c r="L325" s="1"/>
      <c r="M325" s="2"/>
      <c r="N325" s="19">
        <v>8.5</v>
      </c>
      <c r="O325" s="22" t="str">
        <f t="shared" si="9"/>
        <v/>
      </c>
      <c r="P325" s="21" t="s">
        <v>197</v>
      </c>
      <c r="Q325" s="375" t="s">
        <v>224</v>
      </c>
      <c r="R325" s="375"/>
      <c r="S325" s="375"/>
      <c r="T325" s="106"/>
      <c r="U325" s="11"/>
      <c r="V325" s="337">
        <v>23</v>
      </c>
      <c r="W325" s="372" t="str">
        <f>IF(OR(G325="Collectors",G325="Special Pricing",G325="Boutique",G325="leafjoy littles™",G325="Premium"),
    IF(V325&gt;0,"Show","Hide"),
    IF(V325 &gt;= _xlfn.XLOOKUP(F325,'Min table'!C$3:C$5,),"Show","Hide")
)</f>
        <v>Show</v>
      </c>
      <c r="X325" s="317" t="s">
        <v>2075</v>
      </c>
      <c r="Y325" s="317" t="s">
        <v>471</v>
      </c>
    </row>
    <row r="326" spans="3:25" ht="18.75" hidden="1" x14ac:dyDescent="0.3">
      <c r="C326" s="322"/>
      <c r="D326" s="9"/>
      <c r="E326" s="9"/>
      <c r="F326" s="21" t="s">
        <v>75</v>
      </c>
      <c r="G326" s="20" t="s">
        <v>945</v>
      </c>
      <c r="H326" s="377" t="s">
        <v>473</v>
      </c>
      <c r="I326" s="377"/>
      <c r="J326" s="377" t="s">
        <v>474</v>
      </c>
      <c r="K326" s="377"/>
      <c r="L326" s="1"/>
      <c r="M326" s="2"/>
      <c r="N326" s="19">
        <v>8.5</v>
      </c>
      <c r="O326" s="22" t="str">
        <f t="shared" si="9"/>
        <v/>
      </c>
      <c r="P326" s="21" t="s">
        <v>349</v>
      </c>
      <c r="Q326" s="375" t="s">
        <v>224</v>
      </c>
      <c r="R326" s="375"/>
      <c r="S326" s="375"/>
      <c r="T326" s="93"/>
      <c r="U326" s="11"/>
      <c r="V326" s="337">
        <v>0</v>
      </c>
      <c r="W326" s="372" t="str">
        <f>IF(OR(G326="Collectors",G326="Special Pricing",G326="Boutique",G326="leafjoy littles™",G326="Premium"),
    IF(V326&gt;0,"Show","Hide"),
    IF(V326 &gt;= _xlfn.XLOOKUP(F326,'Min table'!C$3:C$5,),"Show","Hide")
)</f>
        <v>Hide</v>
      </c>
      <c r="X326" s="317" t="s">
        <v>2076</v>
      </c>
      <c r="Y326" s="317" t="s">
        <v>473</v>
      </c>
    </row>
    <row r="327" spans="3:25" ht="18.75" x14ac:dyDescent="0.3">
      <c r="C327" s="322"/>
      <c r="D327" s="9"/>
      <c r="E327" s="9"/>
      <c r="F327" s="21" t="s">
        <v>75</v>
      </c>
      <c r="G327" s="20" t="s">
        <v>942</v>
      </c>
      <c r="H327" s="377" t="s">
        <v>475</v>
      </c>
      <c r="I327" s="377"/>
      <c r="J327" s="377" t="s">
        <v>476</v>
      </c>
      <c r="K327" s="377"/>
      <c r="L327" s="1"/>
      <c r="M327" s="2"/>
      <c r="N327" s="19">
        <v>11.5</v>
      </c>
      <c r="O327" s="22" t="str">
        <f t="shared" si="9"/>
        <v/>
      </c>
      <c r="P327" s="20" t="s">
        <v>477</v>
      </c>
      <c r="Q327" s="375" t="s">
        <v>242</v>
      </c>
      <c r="R327" s="375"/>
      <c r="S327" s="375"/>
      <c r="T327" s="106"/>
      <c r="U327" s="11"/>
      <c r="V327" s="337">
        <v>328</v>
      </c>
      <c r="W327" s="372" t="str">
        <f>IF(OR(G327="Collectors",G327="Special Pricing",G327="Boutique",G327="leafjoy littles™",G327="Premium"),
    IF(V327&gt;0,"Show","Hide"),
    IF(V327 &gt;= _xlfn.XLOOKUP(F327,'Min table'!C$3:C$5,),"Show","Hide")
)</f>
        <v>Show</v>
      </c>
      <c r="X327" s="317" t="s">
        <v>2077</v>
      </c>
      <c r="Y327" s="317" t="s">
        <v>475</v>
      </c>
    </row>
    <row r="328" spans="3:25" ht="18.75" hidden="1" x14ac:dyDescent="0.3">
      <c r="C328" s="322"/>
      <c r="D328" s="9"/>
      <c r="E328" s="9"/>
      <c r="F328" s="21" t="s">
        <v>75</v>
      </c>
      <c r="G328" s="20" t="s">
        <v>942</v>
      </c>
      <c r="H328" s="377" t="s">
        <v>478</v>
      </c>
      <c r="I328" s="377"/>
      <c r="J328" s="377" t="s">
        <v>479</v>
      </c>
      <c r="K328" s="377"/>
      <c r="L328" s="1"/>
      <c r="M328" s="2"/>
      <c r="N328" s="19">
        <v>11.5</v>
      </c>
      <c r="O328" s="22" t="str">
        <f t="shared" si="9"/>
        <v/>
      </c>
      <c r="P328" s="20" t="s">
        <v>349</v>
      </c>
      <c r="Q328" s="375" t="s">
        <v>242</v>
      </c>
      <c r="R328" s="375"/>
      <c r="S328" s="375"/>
      <c r="T328" s="93"/>
      <c r="U328" s="11"/>
      <c r="V328" s="337">
        <v>0</v>
      </c>
      <c r="W328" s="372" t="str">
        <f>IF(OR(G328="Collectors",G328="Special Pricing",G328="Boutique",G328="leafjoy littles™",G328="Premium"),
    IF(V328&gt;0,"Show","Hide"),
    IF(V328 &gt;= _xlfn.XLOOKUP(F328,'Min table'!C$3:C$5,),"Show","Hide")
)</f>
        <v>Hide</v>
      </c>
      <c r="X328" s="317" t="s">
        <v>2078</v>
      </c>
      <c r="Y328" s="342" t="s">
        <v>478</v>
      </c>
    </row>
    <row r="329" spans="3:25" ht="18.75" hidden="1" x14ac:dyDescent="0.3">
      <c r="C329" s="322"/>
      <c r="D329" s="9"/>
      <c r="E329" s="9"/>
      <c r="F329" s="21" t="s">
        <v>75</v>
      </c>
      <c r="G329" s="20" t="s">
        <v>945</v>
      </c>
      <c r="H329" s="377" t="s">
        <v>480</v>
      </c>
      <c r="I329" s="377"/>
      <c r="J329" s="377" t="s">
        <v>481</v>
      </c>
      <c r="K329" s="377"/>
      <c r="L329" s="1"/>
      <c r="M329" s="2"/>
      <c r="N329" s="19">
        <v>8.5</v>
      </c>
      <c r="O329" s="22" t="str">
        <f t="shared" si="9"/>
        <v/>
      </c>
      <c r="P329" s="20" t="s">
        <v>236</v>
      </c>
      <c r="Q329" s="375" t="s">
        <v>224</v>
      </c>
      <c r="R329" s="375"/>
      <c r="S329" s="375"/>
      <c r="T329" s="93"/>
      <c r="U329" s="11"/>
      <c r="V329" s="337">
        <v>0</v>
      </c>
      <c r="W329" s="372" t="str">
        <f>IF(OR(G329="Collectors",G329="Special Pricing",G329="Boutique",G329="leafjoy littles™",G329="Premium"),
    IF(V329&gt;0,"Show","Hide"),
    IF(V329 &gt;= _xlfn.XLOOKUP(F329,'Min table'!C$3:C$5,),"Show","Hide")
)</f>
        <v>Hide</v>
      </c>
      <c r="X329" s="317" t="s">
        <v>2079</v>
      </c>
      <c r="Y329" s="342" t="s">
        <v>480</v>
      </c>
    </row>
    <row r="330" spans="3:25" ht="18.75" hidden="1" x14ac:dyDescent="0.3">
      <c r="C330" s="322"/>
      <c r="D330" s="9"/>
      <c r="E330" s="9"/>
      <c r="F330" s="21" t="s">
        <v>75</v>
      </c>
      <c r="G330" s="20" t="s">
        <v>945</v>
      </c>
      <c r="H330" s="377" t="s">
        <v>482</v>
      </c>
      <c r="I330" s="377"/>
      <c r="J330" s="377" t="s">
        <v>483</v>
      </c>
      <c r="K330" s="377"/>
      <c r="L330" s="1"/>
      <c r="M330" s="2"/>
      <c r="N330" s="19">
        <v>8.5</v>
      </c>
      <c r="O330" s="22" t="str">
        <f t="shared" si="9"/>
        <v/>
      </c>
      <c r="P330" s="20" t="s">
        <v>231</v>
      </c>
      <c r="Q330" s="375" t="s">
        <v>224</v>
      </c>
      <c r="R330" s="375"/>
      <c r="S330" s="375"/>
      <c r="T330" s="93"/>
      <c r="U330" s="11"/>
      <c r="V330" s="337">
        <v>0</v>
      </c>
      <c r="W330" s="372" t="str">
        <f>IF(OR(G330="Collectors",G330="Special Pricing",G330="Boutique",G330="leafjoy littles™",G330="Premium"),
    IF(V330&gt;0,"Show","Hide"),
    IF(V330 &gt;= _xlfn.XLOOKUP(F330,'Min table'!C$3:C$5,),"Show","Hide")
)</f>
        <v>Hide</v>
      </c>
      <c r="X330" s="317" t="s">
        <v>2080</v>
      </c>
      <c r="Y330" s="342" t="s">
        <v>482</v>
      </c>
    </row>
    <row r="331" spans="3:25" ht="18.75" hidden="1" x14ac:dyDescent="0.3">
      <c r="C331" s="322"/>
      <c r="D331" s="9"/>
      <c r="E331" s="9"/>
      <c r="F331" s="21" t="s">
        <v>75</v>
      </c>
      <c r="G331" s="20" t="s">
        <v>945</v>
      </c>
      <c r="H331" s="377" t="s">
        <v>484</v>
      </c>
      <c r="I331" s="377"/>
      <c r="J331" s="377" t="s">
        <v>485</v>
      </c>
      <c r="K331" s="377"/>
      <c r="L331" s="1"/>
      <c r="M331" s="2"/>
      <c r="N331" s="19">
        <v>8.5</v>
      </c>
      <c r="O331" s="22" t="str">
        <f t="shared" si="9"/>
        <v/>
      </c>
      <c r="P331" s="21" t="s">
        <v>486</v>
      </c>
      <c r="Q331" s="375" t="s">
        <v>224</v>
      </c>
      <c r="R331" s="375"/>
      <c r="S331" s="375"/>
      <c r="T331" s="93"/>
      <c r="U331" s="11"/>
      <c r="V331" s="337">
        <v>0</v>
      </c>
      <c r="W331" s="372" t="str">
        <f>IF(OR(G331="Collectors",G331="Special Pricing",G331="Boutique",G331="leafjoy littles™",G331="Premium"),
    IF(V331&gt;0,"Show","Hide"),
    IF(V331 &gt;= _xlfn.XLOOKUP(F331,'Min table'!C$3:C$5,),"Show","Hide")
)</f>
        <v>Hide</v>
      </c>
      <c r="X331" s="317" t="s">
        <v>2081</v>
      </c>
      <c r="Y331" s="342" t="s">
        <v>484</v>
      </c>
    </row>
    <row r="332" spans="3:25" ht="18.75" hidden="1" x14ac:dyDescent="0.3">
      <c r="C332" s="322"/>
      <c r="D332" s="9"/>
      <c r="E332" s="9"/>
      <c r="F332" s="21" t="s">
        <v>75</v>
      </c>
      <c r="G332" s="20" t="s">
        <v>945</v>
      </c>
      <c r="H332" s="377" t="s">
        <v>487</v>
      </c>
      <c r="I332" s="377"/>
      <c r="J332" s="377" t="s">
        <v>488</v>
      </c>
      <c r="K332" s="377"/>
      <c r="L332" s="1"/>
      <c r="M332" s="2"/>
      <c r="N332" s="19">
        <v>8.5</v>
      </c>
      <c r="O332" s="22" t="str">
        <f t="shared" si="9"/>
        <v/>
      </c>
      <c r="P332" s="20" t="s">
        <v>231</v>
      </c>
      <c r="Q332" s="375" t="s">
        <v>224</v>
      </c>
      <c r="R332" s="375"/>
      <c r="S332" s="375"/>
      <c r="T332" s="93"/>
      <c r="U332" s="11"/>
      <c r="V332" s="337">
        <v>0</v>
      </c>
      <c r="W332" s="372" t="str">
        <f>IF(OR(G332="Collectors",G332="Special Pricing",G332="Boutique",G332="leafjoy littles™",G332="Premium"),
    IF(V332&gt;0,"Show","Hide"),
    IF(V332 &gt;= _xlfn.XLOOKUP(F332,'Min table'!C$3:C$5,),"Show","Hide")
)</f>
        <v>Hide</v>
      </c>
      <c r="X332" s="317" t="s">
        <v>2082</v>
      </c>
      <c r="Y332" s="342" t="s">
        <v>487</v>
      </c>
    </row>
    <row r="333" spans="3:25" ht="18.75" hidden="1" x14ac:dyDescent="0.3">
      <c r="C333" s="322"/>
      <c r="D333" s="9"/>
      <c r="E333" s="9"/>
      <c r="F333" s="21" t="s">
        <v>75</v>
      </c>
      <c r="G333" s="20" t="s">
        <v>945</v>
      </c>
      <c r="H333" s="377" t="s">
        <v>489</v>
      </c>
      <c r="I333" s="377"/>
      <c r="J333" s="377" t="s">
        <v>490</v>
      </c>
      <c r="K333" s="377"/>
      <c r="L333" s="1"/>
      <c r="M333" s="2"/>
      <c r="N333" s="19">
        <v>8.5</v>
      </c>
      <c r="O333" s="22" t="str">
        <f t="shared" si="9"/>
        <v/>
      </c>
      <c r="P333" s="20" t="s">
        <v>349</v>
      </c>
      <c r="Q333" s="375" t="s">
        <v>224</v>
      </c>
      <c r="R333" s="375"/>
      <c r="S333" s="375"/>
      <c r="T333" s="93"/>
      <c r="U333" s="11"/>
      <c r="V333" s="337">
        <v>0</v>
      </c>
      <c r="W333" s="372" t="str">
        <f>IF(OR(G333="Collectors",G333="Special Pricing",G333="Boutique",G333="leafjoy littles™",G333="Premium"),
    IF(V333&gt;0,"Show","Hide"),
    IF(V333 &gt;= _xlfn.XLOOKUP(F333,'Min table'!C$3:C$5,),"Show","Hide")
)</f>
        <v>Hide</v>
      </c>
      <c r="X333" s="317" t="s">
        <v>2083</v>
      </c>
      <c r="Y333" s="342" t="s">
        <v>489</v>
      </c>
    </row>
    <row r="334" spans="3:25" ht="18.75" hidden="1" x14ac:dyDescent="0.3">
      <c r="C334" s="322"/>
      <c r="D334" s="9"/>
      <c r="E334" s="9"/>
      <c r="F334" s="21" t="s">
        <v>75</v>
      </c>
      <c r="G334" s="20" t="s">
        <v>945</v>
      </c>
      <c r="H334" s="377" t="s">
        <v>1854</v>
      </c>
      <c r="I334" s="377"/>
      <c r="J334" s="377" t="s">
        <v>492</v>
      </c>
      <c r="K334" s="377"/>
      <c r="L334" s="1"/>
      <c r="M334" s="2"/>
      <c r="N334" s="19">
        <v>8.5</v>
      </c>
      <c r="O334" s="22" t="str">
        <f t="shared" si="9"/>
        <v/>
      </c>
      <c r="P334" s="20" t="s">
        <v>354</v>
      </c>
      <c r="Q334" s="375" t="s">
        <v>224</v>
      </c>
      <c r="R334" s="375"/>
      <c r="S334" s="375"/>
      <c r="T334" s="93"/>
      <c r="U334" s="11"/>
      <c r="V334" s="337">
        <v>0</v>
      </c>
      <c r="W334" s="372" t="str">
        <f>IF(OR(G334="Collectors",G334="Special Pricing",G334="Boutique",G334="leafjoy littles™",G334="Premium"),
    IF(V334&gt;0,"Show","Hide"),
    IF(V334 &gt;= _xlfn.XLOOKUP(F334,'Min table'!C$3:C$5,),"Show","Hide")
)</f>
        <v>Hide</v>
      </c>
      <c r="X334" s="317" t="s">
        <v>2084</v>
      </c>
      <c r="Y334" s="342" t="s">
        <v>491</v>
      </c>
    </row>
    <row r="335" spans="3:25" ht="18.75" x14ac:dyDescent="0.3">
      <c r="C335" s="322"/>
      <c r="D335" s="9"/>
      <c r="E335" s="9"/>
      <c r="F335" s="21" t="s">
        <v>75</v>
      </c>
      <c r="G335" s="20" t="s">
        <v>945</v>
      </c>
      <c r="H335" s="377" t="s">
        <v>493</v>
      </c>
      <c r="I335" s="377"/>
      <c r="J335" s="377" t="s">
        <v>494</v>
      </c>
      <c r="K335" s="377"/>
      <c r="L335" s="1"/>
      <c r="M335" s="2"/>
      <c r="N335" s="19">
        <v>8.5</v>
      </c>
      <c r="O335" s="22" t="str">
        <f t="shared" si="9"/>
        <v/>
      </c>
      <c r="P335" s="20" t="s">
        <v>231</v>
      </c>
      <c r="Q335" s="375" t="s">
        <v>224</v>
      </c>
      <c r="R335" s="375"/>
      <c r="S335" s="375"/>
      <c r="T335" s="106"/>
      <c r="U335" s="11"/>
      <c r="V335" s="337">
        <v>107</v>
      </c>
      <c r="W335" s="372" t="str">
        <f>IF(OR(G335="Collectors",G335="Special Pricing",G335="Boutique",G335="leafjoy littles™",G335="Premium"),
    IF(V335&gt;0,"Show","Hide"),
    IF(V335 &gt;= _xlfn.XLOOKUP(F335,'Min table'!C$3:C$5,),"Show","Hide")
)</f>
        <v>Show</v>
      </c>
      <c r="X335" s="317" t="s">
        <v>2085</v>
      </c>
      <c r="Y335" s="342" t="s">
        <v>493</v>
      </c>
    </row>
    <row r="336" spans="3:25" ht="18.75" hidden="1" x14ac:dyDescent="0.3">
      <c r="C336" s="322"/>
      <c r="D336" s="9"/>
      <c r="E336" s="9"/>
      <c r="F336" s="21" t="s">
        <v>75</v>
      </c>
      <c r="G336" s="20" t="s">
        <v>945</v>
      </c>
      <c r="H336" s="377" t="s">
        <v>495</v>
      </c>
      <c r="I336" s="377"/>
      <c r="J336" s="377" t="s">
        <v>496</v>
      </c>
      <c r="K336" s="377"/>
      <c r="L336" s="1"/>
      <c r="M336" s="2"/>
      <c r="N336" s="19">
        <v>8.5</v>
      </c>
      <c r="O336" s="22" t="str">
        <f t="shared" si="9"/>
        <v/>
      </c>
      <c r="P336" s="21" t="s">
        <v>497</v>
      </c>
      <c r="Q336" s="375" t="s">
        <v>224</v>
      </c>
      <c r="R336" s="375"/>
      <c r="S336" s="375"/>
      <c r="T336" s="93"/>
      <c r="U336" s="11"/>
      <c r="V336" s="337">
        <v>0</v>
      </c>
      <c r="W336" s="372" t="str">
        <f>IF(OR(G336="Collectors",G336="Special Pricing",G336="Boutique",G336="leafjoy littles™",G336="Premium"),
    IF(V336&gt;0,"Show","Hide"),
    IF(V336 &gt;= _xlfn.XLOOKUP(F336,'Min table'!C$3:C$5,),"Show","Hide")
)</f>
        <v>Hide</v>
      </c>
      <c r="X336" s="317" t="s">
        <v>2086</v>
      </c>
      <c r="Y336" s="342" t="s">
        <v>495</v>
      </c>
    </row>
    <row r="337" spans="3:25" ht="18.75" hidden="1" x14ac:dyDescent="0.3">
      <c r="C337" s="322"/>
      <c r="D337" s="9"/>
      <c r="E337" s="9"/>
      <c r="F337" s="21" t="s">
        <v>75</v>
      </c>
      <c r="G337" s="20" t="s">
        <v>945</v>
      </c>
      <c r="H337" s="376" t="s">
        <v>498</v>
      </c>
      <c r="I337" s="376"/>
      <c r="J337" s="376" t="s">
        <v>499</v>
      </c>
      <c r="K337" s="376"/>
      <c r="L337" s="1"/>
      <c r="M337" s="2"/>
      <c r="N337" s="19">
        <v>8.5</v>
      </c>
      <c r="O337" s="22" t="str">
        <f t="shared" si="9"/>
        <v/>
      </c>
      <c r="P337" s="21" t="s">
        <v>349</v>
      </c>
      <c r="Q337" s="375" t="s">
        <v>224</v>
      </c>
      <c r="R337" s="375"/>
      <c r="S337" s="375"/>
      <c r="T337" s="93"/>
      <c r="U337" s="11"/>
      <c r="V337" s="337">
        <v>22</v>
      </c>
      <c r="W337" s="372" t="str">
        <f>IF(OR(G337="Collectors",G337="Special Pricing",G337="Boutique",G337="leafjoy littles™",G337="Premium"),
    IF(V337&gt;0,"Show","Hide"),
    IF(V337 &gt;= _xlfn.XLOOKUP(F337,'Min table'!C$3:C$5,),"Show","Hide")
)</f>
        <v>Show</v>
      </c>
      <c r="X337" s="317" t="s">
        <v>2087</v>
      </c>
      <c r="Y337" s="342" t="s">
        <v>498</v>
      </c>
    </row>
    <row r="338" spans="3:25" ht="18.75" x14ac:dyDescent="0.3">
      <c r="C338" s="322"/>
      <c r="D338" s="9"/>
      <c r="E338" s="9"/>
      <c r="F338" s="21" t="s">
        <v>75</v>
      </c>
      <c r="G338" s="20" t="s">
        <v>945</v>
      </c>
      <c r="H338" s="377" t="s">
        <v>500</v>
      </c>
      <c r="I338" s="377"/>
      <c r="J338" s="377" t="s">
        <v>501</v>
      </c>
      <c r="K338" s="377"/>
      <c r="L338" s="1"/>
      <c r="M338" s="2"/>
      <c r="N338" s="19">
        <v>8.5</v>
      </c>
      <c r="O338" s="22" t="str">
        <f t="shared" si="9"/>
        <v/>
      </c>
      <c r="P338" s="21" t="s">
        <v>349</v>
      </c>
      <c r="Q338" s="375" t="s">
        <v>224</v>
      </c>
      <c r="R338" s="375"/>
      <c r="S338" s="375"/>
      <c r="T338" s="93"/>
      <c r="U338" s="11"/>
      <c r="V338" s="337">
        <v>104</v>
      </c>
      <c r="W338" s="372" t="str">
        <f>IF(OR(G338="Collectors",G338="Special Pricing",G338="Boutique",G338="leafjoy littles™",G338="Premium"),
    IF(V338&gt;0,"Show","Hide"),
    IF(V338 &gt;= _xlfn.XLOOKUP(F338,'Min table'!C$3:C$5,),"Show","Hide")
)</f>
        <v>Show</v>
      </c>
      <c r="X338" s="317" t="s">
        <v>2088</v>
      </c>
      <c r="Y338" s="342" t="s">
        <v>500</v>
      </c>
    </row>
    <row r="339" spans="3:25" ht="18.75" x14ac:dyDescent="0.3">
      <c r="C339" s="322"/>
      <c r="D339" s="9"/>
      <c r="E339" s="9"/>
      <c r="F339" s="21" t="s">
        <v>75</v>
      </c>
      <c r="G339" s="20" t="s">
        <v>945</v>
      </c>
      <c r="H339" s="377" t="s">
        <v>502</v>
      </c>
      <c r="I339" s="377"/>
      <c r="J339" s="377" t="s">
        <v>503</v>
      </c>
      <c r="K339" s="377"/>
      <c r="L339" s="1"/>
      <c r="M339" s="2"/>
      <c r="N339" s="19">
        <v>8.5</v>
      </c>
      <c r="O339" s="22" t="str">
        <f t="shared" si="9"/>
        <v/>
      </c>
      <c r="P339" s="21" t="s">
        <v>349</v>
      </c>
      <c r="Q339" s="375" t="s">
        <v>224</v>
      </c>
      <c r="R339" s="375"/>
      <c r="S339" s="375"/>
      <c r="T339" s="93"/>
      <c r="U339" s="11"/>
      <c r="V339" s="337">
        <v>59</v>
      </c>
      <c r="W339" s="372" t="str">
        <f>IF(OR(G339="Collectors",G339="Special Pricing",G339="Boutique",G339="leafjoy littles™",G339="Premium"),
    IF(V339&gt;0,"Show","Hide"),
    IF(V339 &gt;= _xlfn.XLOOKUP(F339,'Min table'!C$3:C$5,),"Show","Hide")
)</f>
        <v>Show</v>
      </c>
      <c r="X339" s="317" t="s">
        <v>2089</v>
      </c>
      <c r="Y339" s="342" t="s">
        <v>502</v>
      </c>
    </row>
    <row r="340" spans="3:25" ht="18.75" hidden="1" x14ac:dyDescent="0.3">
      <c r="C340" s="322"/>
      <c r="D340" s="9"/>
      <c r="E340" s="9"/>
      <c r="F340" s="21" t="s">
        <v>75</v>
      </c>
      <c r="G340" s="20" t="s">
        <v>945</v>
      </c>
      <c r="H340" s="377" t="s">
        <v>504</v>
      </c>
      <c r="I340" s="377"/>
      <c r="J340" s="377" t="s">
        <v>505</v>
      </c>
      <c r="K340" s="377"/>
      <c r="L340" s="1"/>
      <c r="M340" s="2"/>
      <c r="N340" s="19">
        <v>8.5</v>
      </c>
      <c r="O340" s="22" t="str">
        <f t="shared" si="9"/>
        <v/>
      </c>
      <c r="P340" s="21" t="s">
        <v>506</v>
      </c>
      <c r="Q340" s="375" t="s">
        <v>224</v>
      </c>
      <c r="R340" s="375"/>
      <c r="S340" s="375"/>
      <c r="T340" s="93"/>
      <c r="U340" s="11"/>
      <c r="V340" s="337">
        <v>0</v>
      </c>
      <c r="W340" s="372" t="str">
        <f>IF(OR(G340="Collectors",G340="Special Pricing",G340="Boutique",G340="leafjoy littles™",G340="Premium"),
    IF(V340&gt;0,"Show","Hide"),
    IF(V340 &gt;= _xlfn.XLOOKUP(F340,'Min table'!C$3:C$5,),"Show","Hide")
)</f>
        <v>Hide</v>
      </c>
      <c r="X340" s="317" t="s">
        <v>2090</v>
      </c>
      <c r="Y340" s="342" t="s">
        <v>504</v>
      </c>
    </row>
    <row r="341" spans="3:25" ht="18.75" hidden="1" x14ac:dyDescent="0.3">
      <c r="C341" s="322"/>
      <c r="D341" s="9"/>
      <c r="E341" s="9"/>
      <c r="F341" s="21" t="s">
        <v>75</v>
      </c>
      <c r="G341" s="20" t="s">
        <v>945</v>
      </c>
      <c r="H341" s="377" t="s">
        <v>507</v>
      </c>
      <c r="I341" s="377"/>
      <c r="J341" s="377" t="s">
        <v>508</v>
      </c>
      <c r="K341" s="377"/>
      <c r="L341" s="1"/>
      <c r="M341" s="2"/>
      <c r="N341" s="19">
        <v>8.5</v>
      </c>
      <c r="O341" s="22" t="str">
        <f t="shared" si="9"/>
        <v/>
      </c>
      <c r="P341" s="20" t="s">
        <v>506</v>
      </c>
      <c r="Q341" s="375" t="s">
        <v>224</v>
      </c>
      <c r="R341" s="375"/>
      <c r="S341" s="375"/>
      <c r="T341" s="93"/>
      <c r="U341" s="11"/>
      <c r="V341" s="337">
        <v>3</v>
      </c>
      <c r="W341" s="372" t="str">
        <f>IF(OR(G341="Collectors",G341="Special Pricing",G341="Boutique",G341="leafjoy littles™",G341="Premium"),
    IF(V341&gt;0,"Show","Hide"),
    IF(V341 &gt;= _xlfn.XLOOKUP(F341,'Min table'!C$3:C$5,),"Show","Hide")
)</f>
        <v>Show</v>
      </c>
      <c r="X341" s="317" t="s">
        <v>2091</v>
      </c>
      <c r="Y341" s="342" t="s">
        <v>507</v>
      </c>
    </row>
    <row r="342" spans="3:25" ht="18.75" hidden="1" x14ac:dyDescent="0.3">
      <c r="C342" s="322"/>
      <c r="D342" s="9"/>
      <c r="E342" s="9"/>
      <c r="F342" s="21" t="s">
        <v>75</v>
      </c>
      <c r="G342" s="20" t="s">
        <v>945</v>
      </c>
      <c r="H342" s="377" t="s">
        <v>509</v>
      </c>
      <c r="I342" s="377"/>
      <c r="J342" s="377" t="s">
        <v>510</v>
      </c>
      <c r="K342" s="377"/>
      <c r="L342" s="1"/>
      <c r="M342" s="2"/>
      <c r="N342" s="19">
        <v>8.5</v>
      </c>
      <c r="O342" s="22" t="str">
        <f t="shared" si="9"/>
        <v/>
      </c>
      <c r="P342" s="21" t="s">
        <v>354</v>
      </c>
      <c r="Q342" s="375" t="s">
        <v>224</v>
      </c>
      <c r="R342" s="375"/>
      <c r="S342" s="375"/>
      <c r="T342" s="93"/>
      <c r="U342" s="11"/>
      <c r="V342" s="337">
        <v>0</v>
      </c>
      <c r="W342" s="372" t="str">
        <f>IF(OR(G342="Collectors",G342="Special Pricing",G342="Boutique",G342="leafjoy littles™",G342="Premium"),
    IF(V342&gt;0,"Show","Hide"),
    IF(V342 &gt;= _xlfn.XLOOKUP(F342,'Min table'!C$3:C$5,),"Show","Hide")
)</f>
        <v>Hide</v>
      </c>
      <c r="X342" s="317" t="s">
        <v>2092</v>
      </c>
      <c r="Y342" s="342" t="s">
        <v>509</v>
      </c>
    </row>
    <row r="343" spans="3:25" ht="18.75" hidden="1" x14ac:dyDescent="0.3">
      <c r="C343" s="322"/>
      <c r="D343" s="9"/>
      <c r="E343" s="9"/>
      <c r="F343" s="21" t="s">
        <v>75</v>
      </c>
      <c r="G343" s="20" t="s">
        <v>945</v>
      </c>
      <c r="H343" s="377" t="s">
        <v>511</v>
      </c>
      <c r="I343" s="377"/>
      <c r="J343" s="377" t="s">
        <v>512</v>
      </c>
      <c r="K343" s="377"/>
      <c r="L343" s="1"/>
      <c r="M343" s="2"/>
      <c r="N343" s="19">
        <v>8.5</v>
      </c>
      <c r="O343" s="22" t="str">
        <f t="shared" si="9"/>
        <v/>
      </c>
      <c r="P343" s="21" t="s">
        <v>354</v>
      </c>
      <c r="Q343" s="375" t="s">
        <v>224</v>
      </c>
      <c r="R343" s="375"/>
      <c r="S343" s="375"/>
      <c r="T343" s="93"/>
      <c r="U343" s="11"/>
      <c r="V343" s="337">
        <v>0</v>
      </c>
      <c r="W343" s="372" t="str">
        <f>IF(OR(G343="Collectors",G343="Special Pricing",G343="Boutique",G343="leafjoy littles™",G343="Premium"),
    IF(V343&gt;0,"Show","Hide"),
    IF(V343 &gt;= _xlfn.XLOOKUP(F343,'Min table'!C$3:C$5,),"Show","Hide")
)</f>
        <v>Hide</v>
      </c>
      <c r="X343" s="317" t="s">
        <v>2093</v>
      </c>
      <c r="Y343" s="342" t="s">
        <v>511</v>
      </c>
    </row>
    <row r="344" spans="3:25" ht="18.75" hidden="1" x14ac:dyDescent="0.3">
      <c r="C344" s="322"/>
      <c r="D344" s="9"/>
      <c r="E344" s="9"/>
      <c r="F344" s="21" t="s">
        <v>75</v>
      </c>
      <c r="G344" s="20" t="s">
        <v>942</v>
      </c>
      <c r="H344" s="376" t="s">
        <v>513</v>
      </c>
      <c r="I344" s="376"/>
      <c r="J344" s="376" t="s">
        <v>514</v>
      </c>
      <c r="K344" s="376"/>
      <c r="L344" s="1"/>
      <c r="M344" s="2"/>
      <c r="N344" s="19">
        <v>11.5</v>
      </c>
      <c r="O344" s="22" t="str">
        <f t="shared" si="9"/>
        <v/>
      </c>
      <c r="P344" s="21" t="s">
        <v>349</v>
      </c>
      <c r="Q344" s="375" t="s">
        <v>242</v>
      </c>
      <c r="R344" s="375"/>
      <c r="S344" s="375"/>
      <c r="T344" s="106"/>
      <c r="U344" s="11"/>
      <c r="V344" s="337">
        <v>6</v>
      </c>
      <c r="W344" s="372" t="str">
        <f>IF(OR(G344="Collectors",G344="Special Pricing",G344="Boutique",G344="leafjoy littles™",G344="Premium"),
    IF(V344&gt;0,"Show","Hide"),
    IF(V344 &gt;= _xlfn.XLOOKUP(F344,'Min table'!C$3:C$5,),"Show","Hide")
)</f>
        <v>Show</v>
      </c>
      <c r="X344" s="317" t="s">
        <v>2094</v>
      </c>
      <c r="Y344" s="342" t="s">
        <v>513</v>
      </c>
    </row>
    <row r="345" spans="3:25" ht="18.75" hidden="1" x14ac:dyDescent="0.3">
      <c r="C345" s="322"/>
      <c r="D345" s="9"/>
      <c r="E345" s="9"/>
      <c r="F345" s="21" t="s">
        <v>75</v>
      </c>
      <c r="G345" s="20" t="s">
        <v>945</v>
      </c>
      <c r="H345" s="377" t="s">
        <v>515</v>
      </c>
      <c r="I345" s="377"/>
      <c r="J345" s="377" t="s">
        <v>516</v>
      </c>
      <c r="K345" s="377"/>
      <c r="L345" s="1"/>
      <c r="M345" s="2"/>
      <c r="N345" s="19">
        <v>8.5</v>
      </c>
      <c r="O345" s="22" t="str">
        <f t="shared" si="9"/>
        <v/>
      </c>
      <c r="P345" s="21" t="s">
        <v>506</v>
      </c>
      <c r="Q345" s="375" t="s">
        <v>224</v>
      </c>
      <c r="R345" s="375"/>
      <c r="S345" s="375"/>
      <c r="T345" s="93"/>
      <c r="U345" s="11"/>
      <c r="V345" s="337">
        <v>0</v>
      </c>
      <c r="W345" s="372" t="str">
        <f>IF(OR(G345="Collectors",G345="Special Pricing",G345="Boutique",G345="leafjoy littles™",G345="Premium"),
    IF(V345&gt;0,"Show","Hide"),
    IF(V345 &gt;= _xlfn.XLOOKUP(F345,'Min table'!C$3:C$5,),"Show","Hide")
)</f>
        <v>Hide</v>
      </c>
      <c r="X345" s="317" t="s">
        <v>2095</v>
      </c>
      <c r="Y345" s="342" t="s">
        <v>515</v>
      </c>
    </row>
    <row r="346" spans="3:25" ht="18.75" x14ac:dyDescent="0.3">
      <c r="C346" s="322"/>
      <c r="D346" s="9"/>
      <c r="E346" s="9"/>
      <c r="F346" s="21" t="s">
        <v>75</v>
      </c>
      <c r="G346" s="20" t="s">
        <v>945</v>
      </c>
      <c r="H346" s="376" t="s">
        <v>517</v>
      </c>
      <c r="I346" s="376"/>
      <c r="J346" s="376" t="s">
        <v>518</v>
      </c>
      <c r="K346" s="376"/>
      <c r="L346" s="1"/>
      <c r="M346" s="2"/>
      <c r="N346" s="19">
        <v>8.5</v>
      </c>
      <c r="O346" s="22" t="str">
        <f t="shared" si="9"/>
        <v/>
      </c>
      <c r="P346" s="21" t="s">
        <v>236</v>
      </c>
      <c r="Q346" s="375" t="s">
        <v>224</v>
      </c>
      <c r="R346" s="375"/>
      <c r="S346" s="375"/>
      <c r="T346" s="93"/>
      <c r="U346" s="11"/>
      <c r="V346" s="337">
        <v>26</v>
      </c>
      <c r="W346" s="372" t="str">
        <f>IF(OR(G346="Collectors",G346="Special Pricing",G346="Boutique",G346="leafjoy littles™",G346="Premium"),
    IF(V346&gt;0,"Show","Hide"),
    IF(V346 &gt;= _xlfn.XLOOKUP(F346,'Min table'!C$3:C$5,),"Show","Hide")
)</f>
        <v>Show</v>
      </c>
      <c r="X346" s="317" t="s">
        <v>2096</v>
      </c>
      <c r="Y346" s="342" t="s">
        <v>517</v>
      </c>
    </row>
    <row r="347" spans="3:25" ht="18.75" x14ac:dyDescent="0.3">
      <c r="C347" s="322"/>
      <c r="D347" s="9"/>
      <c r="E347" s="9"/>
      <c r="F347" s="21" t="s">
        <v>75</v>
      </c>
      <c r="G347" s="20" t="s">
        <v>945</v>
      </c>
      <c r="H347" s="377" t="s">
        <v>519</v>
      </c>
      <c r="I347" s="377"/>
      <c r="J347" s="377" t="s">
        <v>520</v>
      </c>
      <c r="K347" s="377"/>
      <c r="L347" s="1"/>
      <c r="M347" s="2"/>
      <c r="N347" s="19">
        <v>8.5</v>
      </c>
      <c r="O347" s="22" t="str">
        <f t="shared" si="9"/>
        <v/>
      </c>
      <c r="P347" s="20" t="s">
        <v>349</v>
      </c>
      <c r="Q347" s="375" t="s">
        <v>224</v>
      </c>
      <c r="R347" s="375"/>
      <c r="S347" s="375"/>
      <c r="T347" s="93"/>
      <c r="U347" s="11"/>
      <c r="V347" s="337">
        <v>82</v>
      </c>
      <c r="W347" s="372" t="str">
        <f>IF(OR(G347="Collectors",G347="Special Pricing",G347="Boutique",G347="leafjoy littles™",G347="Premium"),
    IF(V347&gt;0,"Show","Hide"),
    IF(V347 &gt;= _xlfn.XLOOKUP(F347,'Min table'!C$3:C$5,),"Show","Hide")
)</f>
        <v>Show</v>
      </c>
      <c r="X347" s="317" t="s">
        <v>2097</v>
      </c>
      <c r="Y347" s="342" t="s">
        <v>519</v>
      </c>
    </row>
    <row r="348" spans="3:25" ht="18.75" hidden="1" x14ac:dyDescent="0.3">
      <c r="C348" s="322"/>
      <c r="D348" s="9"/>
      <c r="E348" s="9"/>
      <c r="F348" s="21" t="s">
        <v>75</v>
      </c>
      <c r="G348" s="20" t="s">
        <v>945</v>
      </c>
      <c r="H348" s="377" t="s">
        <v>1868</v>
      </c>
      <c r="I348" s="377"/>
      <c r="J348" s="377"/>
      <c r="K348" s="377"/>
      <c r="L348" s="1"/>
      <c r="M348" s="2"/>
      <c r="N348" s="19">
        <v>8.5</v>
      </c>
      <c r="O348" s="22" t="str">
        <f t="shared" si="9"/>
        <v/>
      </c>
      <c r="P348" s="20" t="s">
        <v>349</v>
      </c>
      <c r="Q348" s="375" t="s">
        <v>224</v>
      </c>
      <c r="R348" s="375"/>
      <c r="S348" s="375"/>
      <c r="T348" s="93"/>
      <c r="U348" s="11"/>
      <c r="V348" s="337">
        <v>0</v>
      </c>
      <c r="W348" s="372" t="str">
        <f>IF(OR(G348="Collectors",G348="Special Pricing",G348="Boutique",G348="leafjoy littles™",G348="Premium"),
    IF(V348&gt;0,"Show","Hide"),
    IF(V348 &gt;= _xlfn.XLOOKUP(F348,'Min table'!C$3:C$5,),"Show","Hide")
)</f>
        <v>Hide</v>
      </c>
      <c r="X348" s="317" t="s">
        <v>2098</v>
      </c>
      <c r="Y348" s="342" t="s">
        <v>1868</v>
      </c>
    </row>
    <row r="349" spans="3:25" ht="18.75" hidden="1" x14ac:dyDescent="0.3">
      <c r="C349" s="322"/>
      <c r="D349" s="9"/>
      <c r="E349" s="9"/>
      <c r="F349" s="21" t="s">
        <v>75</v>
      </c>
      <c r="G349" s="20" t="s">
        <v>945</v>
      </c>
      <c r="H349" s="377" t="s">
        <v>521</v>
      </c>
      <c r="I349" s="377"/>
      <c r="J349" s="377" t="s">
        <v>522</v>
      </c>
      <c r="K349" s="377"/>
      <c r="L349" s="1"/>
      <c r="M349" s="2"/>
      <c r="N349" s="19">
        <v>8.5</v>
      </c>
      <c r="O349" s="22" t="str">
        <f t="shared" ref="O349:O359" si="10">IF(AND(L349="",M349=""),"",(L349*N349)+(M349*(N349+2.25)))</f>
        <v/>
      </c>
      <c r="P349" s="21" t="s">
        <v>349</v>
      </c>
      <c r="Q349" s="375" t="s">
        <v>224</v>
      </c>
      <c r="R349" s="375"/>
      <c r="S349" s="375"/>
      <c r="T349" s="93"/>
      <c r="U349" s="11"/>
      <c r="V349" s="337">
        <v>0</v>
      </c>
      <c r="W349" s="372" t="str">
        <f>IF(OR(G349="Collectors",G349="Special Pricing",G349="Boutique",G349="leafjoy littles™",G349="Premium"),
    IF(V349&gt;0,"Show","Hide"),
    IF(V349 &gt;= _xlfn.XLOOKUP(F349,'Min table'!C$3:C$5,),"Show","Hide")
)</f>
        <v>Hide</v>
      </c>
      <c r="X349" s="317" t="s">
        <v>2099</v>
      </c>
      <c r="Y349" s="342" t="s">
        <v>521</v>
      </c>
    </row>
    <row r="350" spans="3:25" ht="18.75" hidden="1" x14ac:dyDescent="0.3">
      <c r="C350" s="322"/>
      <c r="D350" s="9"/>
      <c r="E350" s="9"/>
      <c r="F350" s="21" t="s">
        <v>75</v>
      </c>
      <c r="G350" s="20" t="s">
        <v>945</v>
      </c>
      <c r="H350" s="377" t="s">
        <v>523</v>
      </c>
      <c r="I350" s="377"/>
      <c r="J350" s="377" t="s">
        <v>524</v>
      </c>
      <c r="K350" s="377"/>
      <c r="L350" s="1"/>
      <c r="M350" s="2"/>
      <c r="N350" s="19">
        <v>8.5</v>
      </c>
      <c r="O350" s="22" t="str">
        <f t="shared" si="10"/>
        <v/>
      </c>
      <c r="P350" s="21" t="s">
        <v>231</v>
      </c>
      <c r="Q350" s="375" t="s">
        <v>224</v>
      </c>
      <c r="R350" s="375"/>
      <c r="S350" s="375"/>
      <c r="T350" s="93"/>
      <c r="U350" s="11"/>
      <c r="V350" s="337">
        <v>0</v>
      </c>
      <c r="W350" s="372" t="str">
        <f>IF(OR(G350="Collectors",G350="Special Pricing",G350="Boutique",G350="leafjoy littles™",G350="Premium"),
    IF(V350&gt;0,"Show","Hide"),
    IF(V350 &gt;= _xlfn.XLOOKUP(F350,'Min table'!C$3:C$5,),"Show","Hide")
)</f>
        <v>Hide</v>
      </c>
      <c r="X350" s="317" t="s">
        <v>2100</v>
      </c>
      <c r="Y350" s="342" t="s">
        <v>523</v>
      </c>
    </row>
    <row r="351" spans="3:25" ht="18.75" hidden="1" x14ac:dyDescent="0.3">
      <c r="C351" s="322"/>
      <c r="D351" s="9"/>
      <c r="E351" s="9"/>
      <c r="F351" s="21" t="s">
        <v>75</v>
      </c>
      <c r="G351" s="20" t="s">
        <v>991</v>
      </c>
      <c r="H351" s="377" t="s">
        <v>525</v>
      </c>
      <c r="I351" s="377"/>
      <c r="J351" s="377" t="s">
        <v>526</v>
      </c>
      <c r="K351" s="377"/>
      <c r="L351" s="1"/>
      <c r="M351" s="2"/>
      <c r="N351" s="19">
        <v>20</v>
      </c>
      <c r="O351" s="22" t="str">
        <f t="shared" si="10"/>
        <v/>
      </c>
      <c r="P351" s="21" t="s">
        <v>120</v>
      </c>
      <c r="Q351" s="375" t="s">
        <v>341</v>
      </c>
      <c r="R351" s="375"/>
      <c r="S351" s="375"/>
      <c r="T351" s="93"/>
      <c r="U351" s="11"/>
      <c r="V351" s="337">
        <v>0</v>
      </c>
      <c r="W351" s="372" t="str">
        <f>IF(OR(G351="Collectors",G351="Special Pricing",G351="Boutique",G351="leafjoy littles™",G351="Premium"),
    IF(V351&gt;0,"Show","Hide"),
    IF(V351 &gt;= _xlfn.XLOOKUP(F351,'Min table'!C$3:C$5,),"Show","Hide")
)</f>
        <v>Hide</v>
      </c>
      <c r="X351" s="317" t="s">
        <v>2101</v>
      </c>
      <c r="Y351" s="342" t="s">
        <v>525</v>
      </c>
    </row>
    <row r="352" spans="3:25" ht="18.75" hidden="1" x14ac:dyDescent="0.3">
      <c r="C352" s="322"/>
      <c r="D352" s="9"/>
      <c r="E352" s="9"/>
      <c r="F352" s="21" t="s">
        <v>75</v>
      </c>
      <c r="G352" s="20" t="s">
        <v>991</v>
      </c>
      <c r="H352" s="377" t="s">
        <v>527</v>
      </c>
      <c r="I352" s="377"/>
      <c r="J352" s="377" t="s">
        <v>528</v>
      </c>
      <c r="K352" s="377"/>
      <c r="L352" s="1"/>
      <c r="M352" s="2"/>
      <c r="N352" s="19">
        <v>20</v>
      </c>
      <c r="O352" s="22" t="str">
        <f t="shared" si="10"/>
        <v/>
      </c>
      <c r="P352" s="20" t="s">
        <v>120</v>
      </c>
      <c r="Q352" s="375" t="s">
        <v>341</v>
      </c>
      <c r="R352" s="375"/>
      <c r="S352" s="375"/>
      <c r="T352" s="93"/>
      <c r="U352" s="11"/>
      <c r="V352" s="337">
        <v>0</v>
      </c>
      <c r="W352" s="372" t="str">
        <f>IF(OR(G352="Collectors",G352="Special Pricing",G352="Boutique",G352="leafjoy littles™",G352="Premium"),
    IF(V352&gt;0,"Show","Hide"),
    IF(V352 &gt;= _xlfn.XLOOKUP(F352,'Min table'!C$3:C$5,),"Show","Hide")
)</f>
        <v>Hide</v>
      </c>
      <c r="X352" s="317" t="s">
        <v>2102</v>
      </c>
      <c r="Y352" s="342" t="s">
        <v>527</v>
      </c>
    </row>
    <row r="353" spans="3:25" ht="18.75" hidden="1" x14ac:dyDescent="0.3">
      <c r="C353" s="322"/>
      <c r="D353" s="9"/>
      <c r="E353" s="9"/>
      <c r="F353" s="21" t="s">
        <v>75</v>
      </c>
      <c r="G353" s="20" t="s">
        <v>991</v>
      </c>
      <c r="H353" s="377" t="s">
        <v>529</v>
      </c>
      <c r="I353" s="377"/>
      <c r="J353" s="377" t="s">
        <v>530</v>
      </c>
      <c r="K353" s="377"/>
      <c r="L353" s="1"/>
      <c r="M353" s="2"/>
      <c r="N353" s="19">
        <v>20</v>
      </c>
      <c r="O353" s="22" t="str">
        <f t="shared" si="10"/>
        <v/>
      </c>
      <c r="P353" s="21" t="s">
        <v>120</v>
      </c>
      <c r="Q353" s="375" t="s">
        <v>341</v>
      </c>
      <c r="R353" s="375"/>
      <c r="S353" s="375"/>
      <c r="T353" s="93"/>
      <c r="U353" s="11"/>
      <c r="V353" s="337">
        <v>0</v>
      </c>
      <c r="W353" s="372" t="str">
        <f>IF(OR(G353="Collectors",G353="Special Pricing",G353="Boutique",G353="leafjoy littles™",G353="Premium"),
    IF(V353&gt;0,"Show","Hide"),
    IF(V353 &gt;= _xlfn.XLOOKUP(F353,'Min table'!C$3:C$5,),"Show","Hide")
)</f>
        <v>Hide</v>
      </c>
      <c r="X353" s="317" t="s">
        <v>2103</v>
      </c>
      <c r="Y353" s="342" t="s">
        <v>529</v>
      </c>
    </row>
    <row r="354" spans="3:25" ht="18.75" hidden="1" x14ac:dyDescent="0.3">
      <c r="C354" s="322"/>
      <c r="D354" s="9"/>
      <c r="E354" s="9"/>
      <c r="F354" s="21" t="s">
        <v>75</v>
      </c>
      <c r="G354" s="20" t="s">
        <v>945</v>
      </c>
      <c r="H354" s="377" t="s">
        <v>531</v>
      </c>
      <c r="I354" s="377"/>
      <c r="J354" s="377" t="s">
        <v>532</v>
      </c>
      <c r="K354" s="377"/>
      <c r="L354" s="1"/>
      <c r="M354" s="2"/>
      <c r="N354" s="19">
        <v>8.5</v>
      </c>
      <c r="O354" s="22" t="str">
        <f t="shared" si="10"/>
        <v/>
      </c>
      <c r="P354" s="21" t="s">
        <v>533</v>
      </c>
      <c r="Q354" s="375" t="s">
        <v>224</v>
      </c>
      <c r="R354" s="375"/>
      <c r="S354" s="375"/>
      <c r="T354" s="93"/>
      <c r="U354" s="11"/>
      <c r="V354" s="337">
        <v>11</v>
      </c>
      <c r="W354" s="372" t="str">
        <f>IF(OR(G354="Collectors",G354="Special Pricing",G354="Boutique",G354="leafjoy littles™",G354="Premium"),
    IF(V354&gt;0,"Show","Hide"),
    IF(V354 &gt;= _xlfn.XLOOKUP(F354,'Min table'!C$3:C$5,),"Show","Hide")
)</f>
        <v>Show</v>
      </c>
      <c r="X354" s="317" t="s">
        <v>2104</v>
      </c>
      <c r="Y354" s="342" t="s">
        <v>531</v>
      </c>
    </row>
    <row r="355" spans="3:25" ht="18.75" hidden="1" x14ac:dyDescent="0.3">
      <c r="C355" s="322"/>
      <c r="D355" s="9"/>
      <c r="E355" s="9"/>
      <c r="F355" s="21" t="s">
        <v>75</v>
      </c>
      <c r="G355" s="20" t="s">
        <v>945</v>
      </c>
      <c r="H355" s="377" t="s">
        <v>534</v>
      </c>
      <c r="I355" s="377"/>
      <c r="J355" s="377" t="s">
        <v>535</v>
      </c>
      <c r="K355" s="377"/>
      <c r="L355" s="1"/>
      <c r="M355" s="2"/>
      <c r="N355" s="19">
        <v>8.5</v>
      </c>
      <c r="O355" s="22" t="str">
        <f t="shared" si="10"/>
        <v/>
      </c>
      <c r="P355" s="21" t="s">
        <v>533</v>
      </c>
      <c r="Q355" s="375" t="s">
        <v>224</v>
      </c>
      <c r="R355" s="375"/>
      <c r="S355" s="375"/>
      <c r="T355" s="93"/>
      <c r="U355" s="11"/>
      <c r="V355" s="337">
        <v>6</v>
      </c>
      <c r="W355" s="372" t="str">
        <f>IF(OR(G355="Collectors",G355="Special Pricing",G355="Boutique",G355="leafjoy littles™",G355="Premium"),
    IF(V355&gt;0,"Show","Hide"),
    IF(V355 &gt;= _xlfn.XLOOKUP(F355,'Min table'!C$3:C$5,),"Show","Hide")
)</f>
        <v>Show</v>
      </c>
      <c r="X355" s="317" t="s">
        <v>2105</v>
      </c>
      <c r="Y355" s="342" t="s">
        <v>534</v>
      </c>
    </row>
    <row r="356" spans="3:25" ht="18.75" hidden="1" x14ac:dyDescent="0.3">
      <c r="C356" s="322"/>
      <c r="D356" s="9"/>
      <c r="E356" s="9"/>
      <c r="F356" s="21" t="s">
        <v>75</v>
      </c>
      <c r="G356" s="20" t="s">
        <v>945</v>
      </c>
      <c r="H356" s="377" t="s">
        <v>536</v>
      </c>
      <c r="I356" s="377"/>
      <c r="J356" s="377" t="s">
        <v>537</v>
      </c>
      <c r="K356" s="377"/>
      <c r="L356" s="1"/>
      <c r="M356" s="2"/>
      <c r="N356" s="19">
        <v>8.5</v>
      </c>
      <c r="O356" s="22" t="str">
        <f t="shared" si="10"/>
        <v/>
      </c>
      <c r="P356" s="21" t="s">
        <v>231</v>
      </c>
      <c r="Q356" s="375" t="s">
        <v>224</v>
      </c>
      <c r="R356" s="375"/>
      <c r="S356" s="375"/>
      <c r="T356" s="93"/>
      <c r="U356" s="11"/>
      <c r="V356" s="337">
        <v>1</v>
      </c>
      <c r="W356" s="372" t="str">
        <f>IF(OR(G356="Collectors",G356="Special Pricing",G356="Boutique",G356="leafjoy littles™",G356="Premium"),
    IF(V356&gt;0,"Show","Hide"),
    IF(V356 &gt;= _xlfn.XLOOKUP(F356,'Min table'!C$3:C$5,),"Show","Hide")
)</f>
        <v>Show</v>
      </c>
      <c r="X356" s="317" t="s">
        <v>2106</v>
      </c>
      <c r="Y356" s="342" t="s">
        <v>536</v>
      </c>
    </row>
    <row r="357" spans="3:25" ht="18.75" hidden="1" x14ac:dyDescent="0.3">
      <c r="C357" s="322"/>
      <c r="D357" s="9"/>
      <c r="E357" s="9"/>
      <c r="F357" s="21" t="s">
        <v>75</v>
      </c>
      <c r="G357" s="20" t="s">
        <v>945</v>
      </c>
      <c r="H357" s="377" t="s">
        <v>538</v>
      </c>
      <c r="I357" s="377"/>
      <c r="J357" s="377" t="s">
        <v>539</v>
      </c>
      <c r="K357" s="377"/>
      <c r="L357" s="1"/>
      <c r="M357" s="2"/>
      <c r="N357" s="19">
        <v>8.5</v>
      </c>
      <c r="O357" s="22" t="str">
        <f t="shared" si="10"/>
        <v/>
      </c>
      <c r="P357" s="21" t="s">
        <v>231</v>
      </c>
      <c r="Q357" s="375" t="s">
        <v>224</v>
      </c>
      <c r="R357" s="375"/>
      <c r="S357" s="375"/>
      <c r="T357" s="93"/>
      <c r="U357" s="11"/>
      <c r="V357" s="337">
        <v>17</v>
      </c>
      <c r="W357" s="372" t="str">
        <f>IF(OR(G357="Collectors",G357="Special Pricing",G357="Boutique",G357="leafjoy littles™",G357="Premium"),
    IF(V357&gt;0,"Show","Hide"),
    IF(V357 &gt;= _xlfn.XLOOKUP(F357,'Min table'!C$3:C$5,),"Show","Hide")
)</f>
        <v>Show</v>
      </c>
      <c r="X357" s="317" t="s">
        <v>2107</v>
      </c>
      <c r="Y357" s="317" t="s">
        <v>538</v>
      </c>
    </row>
    <row r="358" spans="3:25" ht="18.75" hidden="1" x14ac:dyDescent="0.3">
      <c r="C358" s="322"/>
      <c r="D358" s="9"/>
      <c r="E358" s="9"/>
      <c r="F358" s="21" t="s">
        <v>75</v>
      </c>
      <c r="G358" s="20" t="s">
        <v>945</v>
      </c>
      <c r="H358" s="377" t="s">
        <v>540</v>
      </c>
      <c r="I358" s="377"/>
      <c r="J358" s="377" t="s">
        <v>541</v>
      </c>
      <c r="K358" s="377"/>
      <c r="L358" s="1"/>
      <c r="M358" s="2"/>
      <c r="N358" s="19">
        <v>8.5</v>
      </c>
      <c r="O358" s="22" t="str">
        <f t="shared" si="10"/>
        <v/>
      </c>
      <c r="P358" s="20" t="s">
        <v>542</v>
      </c>
      <c r="Q358" s="375" t="s">
        <v>224</v>
      </c>
      <c r="R358" s="375"/>
      <c r="S358" s="375"/>
      <c r="T358" s="93"/>
      <c r="U358" s="11"/>
      <c r="V358" s="337">
        <v>0</v>
      </c>
      <c r="W358" s="372" t="str">
        <f>IF(OR(G358="Collectors",G358="Special Pricing",G358="Boutique",G358="leafjoy littles™",G358="Premium"),
    IF(V358&gt;0,"Show","Hide"),
    IF(V358 &gt;= _xlfn.XLOOKUP(F358,'Min table'!C$3:C$5,),"Show","Hide")
)</f>
        <v>Hide</v>
      </c>
      <c r="X358" s="317" t="s">
        <v>2108</v>
      </c>
      <c r="Y358" s="327" t="s">
        <v>540</v>
      </c>
    </row>
    <row r="359" spans="3:25" ht="18.75" hidden="1" x14ac:dyDescent="0.3">
      <c r="C359" s="322"/>
      <c r="D359" s="9"/>
      <c r="E359" s="9"/>
      <c r="F359" s="21" t="s">
        <v>75</v>
      </c>
      <c r="G359" s="20" t="s">
        <v>945</v>
      </c>
      <c r="H359" s="377" t="s">
        <v>543</v>
      </c>
      <c r="I359" s="377"/>
      <c r="J359" s="377" t="s">
        <v>544</v>
      </c>
      <c r="K359" s="377"/>
      <c r="L359" s="1"/>
      <c r="M359" s="2"/>
      <c r="N359" s="19">
        <v>8.5</v>
      </c>
      <c r="O359" s="22" t="str">
        <f t="shared" si="10"/>
        <v/>
      </c>
      <c r="P359" s="21" t="s">
        <v>542</v>
      </c>
      <c r="Q359" s="375" t="s">
        <v>224</v>
      </c>
      <c r="R359" s="375"/>
      <c r="S359" s="375"/>
      <c r="T359" s="93"/>
      <c r="U359" s="28"/>
      <c r="V359" s="337">
        <v>0</v>
      </c>
      <c r="W359" s="372" t="str">
        <f>IF(OR(G359="Collectors",G359="Special Pricing",G359="Boutique",G359="leafjoy littles™",G359="Premium"),
    IF(V359&gt;0,"Show","Hide"),
    IF(V359 &gt;= _xlfn.XLOOKUP(F359,'Min table'!C$3:C$5,),"Show","Hide")
)</f>
        <v>Hide</v>
      </c>
      <c r="X359" s="317" t="s">
        <v>2109</v>
      </c>
      <c r="Y359" s="321" t="s">
        <v>543</v>
      </c>
    </row>
    <row r="360" spans="3:25" ht="24.75" customHeight="1" thickBot="1" x14ac:dyDescent="0.45">
      <c r="C360" s="322"/>
      <c r="D360" s="9"/>
      <c r="E360" s="170"/>
      <c r="F360" s="248"/>
      <c r="G360" s="249"/>
      <c r="H360" s="250"/>
      <c r="I360" s="250"/>
      <c r="J360" s="250"/>
      <c r="K360" s="228" t="s">
        <v>2746</v>
      </c>
      <c r="L360" s="85">
        <f>SUBTOTAL(9,L215:L359)/12</f>
        <v>0</v>
      </c>
      <c r="M360" s="85">
        <f>SUBTOTAL(9,M215:M359)/12</f>
        <v>0</v>
      </c>
      <c r="N360" s="256"/>
      <c r="O360" s="23">
        <f>SUBTOTAL(9,O202:O359)</f>
        <v>0</v>
      </c>
      <c r="P360" s="258"/>
      <c r="Q360" s="256"/>
      <c r="R360" s="257"/>
      <c r="S360" s="259"/>
      <c r="T360" s="108"/>
      <c r="U360" s="24"/>
      <c r="V360" s="331"/>
      <c r="W360" s="331"/>
      <c r="X360" s="343"/>
    </row>
    <row r="361" spans="3:25" ht="35.25" thickTop="1" x14ac:dyDescent="0.4">
      <c r="C361" s="322"/>
      <c r="D361" s="9"/>
      <c r="E361" s="170"/>
      <c r="F361" s="251"/>
      <c r="G361" s="252"/>
      <c r="H361" s="440" t="s">
        <v>2751</v>
      </c>
      <c r="I361" s="440"/>
      <c r="J361" s="440"/>
      <c r="K361" s="440"/>
      <c r="L361" s="203"/>
      <c r="M361" s="203"/>
      <c r="N361" s="207"/>
      <c r="O361" s="207"/>
      <c r="P361" s="253"/>
      <c r="Q361" s="207"/>
      <c r="R361" s="254"/>
      <c r="S361" s="255"/>
      <c r="T361" s="108"/>
      <c r="U361" s="24"/>
      <c r="V361" s="331"/>
      <c r="W361" s="331"/>
      <c r="X361" s="343"/>
    </row>
    <row r="362" spans="3:25" s="327" customFormat="1" ht="49.5" customHeight="1" x14ac:dyDescent="0.4">
      <c r="C362" s="348"/>
      <c r="D362" s="26"/>
      <c r="E362" s="171"/>
      <c r="F362" s="367"/>
      <c r="G362" s="252"/>
      <c r="H362" s="510" t="s">
        <v>545</v>
      </c>
      <c r="I362" s="510"/>
      <c r="J362" s="510"/>
      <c r="K362" s="511"/>
      <c r="L362" s="458" t="s">
        <v>61</v>
      </c>
      <c r="M362" s="459"/>
      <c r="N362" s="368" t="s">
        <v>30</v>
      </c>
      <c r="O362" s="205" t="s">
        <v>31</v>
      </c>
      <c r="P362" s="203" t="s">
        <v>32</v>
      </c>
      <c r="Q362" s="508" t="s">
        <v>33</v>
      </c>
      <c r="R362" s="508"/>
      <c r="S362" s="518"/>
      <c r="T362" s="103"/>
      <c r="U362" s="24"/>
      <c r="V362" s="331"/>
      <c r="W362" s="331"/>
      <c r="X362" s="344"/>
    </row>
    <row r="363" spans="3:25" s="321" customFormat="1" ht="18.75" hidden="1" x14ac:dyDescent="0.3">
      <c r="C363" s="323"/>
      <c r="D363" s="15"/>
      <c r="E363" s="15"/>
      <c r="F363" s="21" t="s">
        <v>546</v>
      </c>
      <c r="G363" s="20" t="s">
        <v>945</v>
      </c>
      <c r="H363" s="377" t="s">
        <v>547</v>
      </c>
      <c r="I363" s="377"/>
      <c r="J363" s="377"/>
      <c r="K363" s="377"/>
      <c r="L363" s="450"/>
      <c r="M363" s="450"/>
      <c r="N363" s="6">
        <v>10.75</v>
      </c>
      <c r="O363" s="371" t="str">
        <f t="shared" ref="O363:O368" si="11">IF(L363*N363=0, "", L363*N363)</f>
        <v/>
      </c>
      <c r="P363" s="19" t="s">
        <v>354</v>
      </c>
      <c r="Q363" s="375" t="s">
        <v>548</v>
      </c>
      <c r="R363" s="375"/>
      <c r="S363" s="375"/>
      <c r="T363" s="106"/>
      <c r="U363" s="25"/>
      <c r="V363" s="320"/>
      <c r="W363" s="320"/>
    </row>
    <row r="364" spans="3:25" s="321" customFormat="1" ht="18.75" hidden="1" x14ac:dyDescent="0.3">
      <c r="C364" s="323"/>
      <c r="D364" s="15"/>
      <c r="E364" s="15"/>
      <c r="F364" s="21" t="s">
        <v>546</v>
      </c>
      <c r="G364" s="20" t="s">
        <v>945</v>
      </c>
      <c r="H364" s="377" t="s">
        <v>549</v>
      </c>
      <c r="I364" s="377"/>
      <c r="J364" s="377"/>
      <c r="K364" s="377"/>
      <c r="L364" s="450"/>
      <c r="M364" s="450"/>
      <c r="N364" s="6">
        <v>10.75</v>
      </c>
      <c r="O364" s="371" t="str">
        <f t="shared" si="11"/>
        <v/>
      </c>
      <c r="P364" s="19" t="s">
        <v>354</v>
      </c>
      <c r="Q364" s="375" t="s">
        <v>548</v>
      </c>
      <c r="R364" s="375"/>
      <c r="S364" s="375"/>
      <c r="T364" s="106"/>
      <c r="U364" s="25"/>
      <c r="V364" s="320"/>
      <c r="W364" s="320"/>
    </row>
    <row r="365" spans="3:25" s="321" customFormat="1" ht="18.75" hidden="1" x14ac:dyDescent="0.3">
      <c r="C365" s="323"/>
      <c r="D365" s="15"/>
      <c r="E365" s="15"/>
      <c r="F365" s="21" t="s">
        <v>546</v>
      </c>
      <c r="G365" s="20" t="s">
        <v>945</v>
      </c>
      <c r="H365" s="377" t="s">
        <v>550</v>
      </c>
      <c r="I365" s="377"/>
      <c r="J365" s="377"/>
      <c r="K365" s="377"/>
      <c r="L365" s="450"/>
      <c r="M365" s="450"/>
      <c r="N365" s="6">
        <v>10.75</v>
      </c>
      <c r="O365" s="371" t="str">
        <f t="shared" si="11"/>
        <v/>
      </c>
      <c r="P365" s="19" t="s">
        <v>551</v>
      </c>
      <c r="Q365" s="375" t="s">
        <v>548</v>
      </c>
      <c r="R365" s="375"/>
      <c r="S365" s="375"/>
      <c r="T365" s="106"/>
      <c r="U365" s="25"/>
      <c r="V365" s="320"/>
      <c r="W365" s="320"/>
    </row>
    <row r="366" spans="3:25" s="321" customFormat="1" ht="18.75" hidden="1" x14ac:dyDescent="0.3">
      <c r="C366" s="323"/>
      <c r="D366" s="15"/>
      <c r="E366" s="15"/>
      <c r="F366" s="21" t="s">
        <v>546</v>
      </c>
      <c r="G366" s="20" t="s">
        <v>945</v>
      </c>
      <c r="H366" s="377" t="s">
        <v>552</v>
      </c>
      <c r="I366" s="377"/>
      <c r="J366" s="377"/>
      <c r="K366" s="377"/>
      <c r="L366" s="450"/>
      <c r="M366" s="450"/>
      <c r="N366" s="6">
        <v>10.75</v>
      </c>
      <c r="O366" s="371" t="str">
        <f t="shared" si="11"/>
        <v/>
      </c>
      <c r="P366" s="19" t="s">
        <v>553</v>
      </c>
      <c r="Q366" s="375" t="s">
        <v>548</v>
      </c>
      <c r="R366" s="375"/>
      <c r="S366" s="375"/>
      <c r="T366" s="106"/>
      <c r="U366" s="25"/>
      <c r="V366" s="320"/>
      <c r="W366" s="320"/>
    </row>
    <row r="367" spans="3:25" s="321" customFormat="1" ht="18.75" hidden="1" x14ac:dyDescent="0.3">
      <c r="C367" s="323"/>
      <c r="D367" s="15"/>
      <c r="E367" s="15"/>
      <c r="F367" s="21" t="s">
        <v>546</v>
      </c>
      <c r="G367" s="20" t="s">
        <v>945</v>
      </c>
      <c r="H367" s="377" t="s">
        <v>554</v>
      </c>
      <c r="I367" s="377"/>
      <c r="J367" s="377"/>
      <c r="K367" s="377"/>
      <c r="L367" s="450"/>
      <c r="M367" s="450"/>
      <c r="N367" s="6">
        <v>10.75</v>
      </c>
      <c r="O367" s="371" t="str">
        <f t="shared" si="11"/>
        <v/>
      </c>
      <c r="P367" s="19" t="s">
        <v>401</v>
      </c>
      <c r="Q367" s="375" t="s">
        <v>548</v>
      </c>
      <c r="R367" s="375"/>
      <c r="S367" s="375"/>
      <c r="T367" s="106"/>
      <c r="U367" s="25"/>
      <c r="V367" s="320"/>
      <c r="W367" s="320"/>
    </row>
    <row r="368" spans="3:25" s="321" customFormat="1" ht="18.75" hidden="1" x14ac:dyDescent="0.3">
      <c r="C368" s="323"/>
      <c r="D368" s="15"/>
      <c r="E368" s="15"/>
      <c r="F368" s="21" t="s">
        <v>546</v>
      </c>
      <c r="G368" s="20" t="s">
        <v>945</v>
      </c>
      <c r="H368" s="377" t="s">
        <v>555</v>
      </c>
      <c r="I368" s="377"/>
      <c r="J368" s="377"/>
      <c r="K368" s="377"/>
      <c r="L368" s="450"/>
      <c r="M368" s="450"/>
      <c r="N368" s="6">
        <v>10.75</v>
      </c>
      <c r="O368" s="371" t="str">
        <f t="shared" si="11"/>
        <v/>
      </c>
      <c r="P368" s="19" t="s">
        <v>401</v>
      </c>
      <c r="Q368" s="375" t="s">
        <v>548</v>
      </c>
      <c r="R368" s="375"/>
      <c r="S368" s="375"/>
      <c r="T368" s="106"/>
      <c r="U368" s="25"/>
      <c r="V368" s="320"/>
      <c r="W368" s="320"/>
    </row>
    <row r="369" spans="3:25" s="321" customFormat="1" ht="18.75" hidden="1" x14ac:dyDescent="0.3">
      <c r="C369" s="323"/>
      <c r="D369" s="15"/>
      <c r="E369" s="15"/>
      <c r="F369" s="21" t="s">
        <v>546</v>
      </c>
      <c r="G369" s="20" t="s">
        <v>945</v>
      </c>
      <c r="H369" s="377" t="s">
        <v>556</v>
      </c>
      <c r="I369" s="377"/>
      <c r="J369" s="377"/>
      <c r="K369" s="377"/>
      <c r="L369" s="450"/>
      <c r="M369" s="450"/>
      <c r="N369" s="6">
        <v>10.75</v>
      </c>
      <c r="O369" s="371" t="str">
        <f>IF(L369*N369=0, "", L369*N369)</f>
        <v/>
      </c>
      <c r="P369" s="19" t="s">
        <v>354</v>
      </c>
      <c r="Q369" s="375" t="s">
        <v>548</v>
      </c>
      <c r="R369" s="375"/>
      <c r="S369" s="375"/>
      <c r="T369" s="106"/>
      <c r="U369" s="25"/>
      <c r="V369" s="320"/>
      <c r="W369" s="320"/>
    </row>
    <row r="370" spans="3:25" s="321" customFormat="1" ht="18.75" x14ac:dyDescent="0.3">
      <c r="C370" s="323"/>
      <c r="D370" s="15"/>
      <c r="E370" s="15"/>
      <c r="F370" s="21" t="s">
        <v>546</v>
      </c>
      <c r="G370" s="20" t="s">
        <v>945</v>
      </c>
      <c r="H370" s="377" t="s">
        <v>557</v>
      </c>
      <c r="I370" s="377"/>
      <c r="J370" s="377"/>
      <c r="K370" s="377"/>
      <c r="L370" s="450"/>
      <c r="M370" s="450"/>
      <c r="N370" s="6">
        <v>10.75</v>
      </c>
      <c r="O370" s="371" t="str">
        <f t="shared" ref="O370:O374" si="12">IF(L370*N370=0, "", L370*N370)</f>
        <v/>
      </c>
      <c r="P370" s="19" t="s">
        <v>236</v>
      </c>
      <c r="Q370" s="375" t="s">
        <v>548</v>
      </c>
      <c r="R370" s="375"/>
      <c r="S370" s="375"/>
      <c r="T370" s="106"/>
      <c r="U370" s="25"/>
      <c r="V370" s="320"/>
      <c r="W370" s="320"/>
    </row>
    <row r="371" spans="3:25" s="321" customFormat="1" ht="18.75" hidden="1" x14ac:dyDescent="0.3">
      <c r="C371" s="323"/>
      <c r="D371" s="15"/>
      <c r="E371" s="15"/>
      <c r="F371" s="21" t="s">
        <v>546</v>
      </c>
      <c r="G371" s="20" t="s">
        <v>945</v>
      </c>
      <c r="H371" s="377" t="s">
        <v>558</v>
      </c>
      <c r="I371" s="377"/>
      <c r="J371" s="377"/>
      <c r="K371" s="377"/>
      <c r="L371" s="450"/>
      <c r="M371" s="450"/>
      <c r="N371" s="6">
        <v>10.75</v>
      </c>
      <c r="O371" s="371" t="str">
        <f t="shared" si="12"/>
        <v/>
      </c>
      <c r="P371" s="19" t="s">
        <v>236</v>
      </c>
      <c r="Q371" s="375" t="s">
        <v>548</v>
      </c>
      <c r="R371" s="375"/>
      <c r="S371" s="375"/>
      <c r="T371" s="106"/>
      <c r="U371" s="25"/>
      <c r="V371" s="320"/>
      <c r="W371" s="320"/>
    </row>
    <row r="372" spans="3:25" s="321" customFormat="1" ht="18.75" hidden="1" x14ac:dyDescent="0.3">
      <c r="C372" s="323"/>
      <c r="D372" s="15"/>
      <c r="E372" s="15"/>
      <c r="F372" s="21" t="s">
        <v>546</v>
      </c>
      <c r="G372" s="20" t="s">
        <v>945</v>
      </c>
      <c r="H372" s="377" t="s">
        <v>559</v>
      </c>
      <c r="I372" s="377"/>
      <c r="J372" s="377"/>
      <c r="K372" s="377"/>
      <c r="L372" s="450"/>
      <c r="M372" s="450"/>
      <c r="N372" s="6">
        <v>10.75</v>
      </c>
      <c r="O372" s="371" t="str">
        <f t="shared" si="12"/>
        <v/>
      </c>
      <c r="P372" s="19" t="s">
        <v>236</v>
      </c>
      <c r="Q372" s="375" t="s">
        <v>548</v>
      </c>
      <c r="R372" s="375"/>
      <c r="S372" s="375"/>
      <c r="T372" s="106"/>
      <c r="U372" s="25"/>
      <c r="V372" s="320"/>
      <c r="W372" s="320"/>
    </row>
    <row r="373" spans="3:25" s="321" customFormat="1" ht="18.75" hidden="1" x14ac:dyDescent="0.3">
      <c r="C373" s="323"/>
      <c r="D373" s="15"/>
      <c r="E373" s="15"/>
      <c r="F373" s="21" t="s">
        <v>546</v>
      </c>
      <c r="G373" s="20" t="s">
        <v>945</v>
      </c>
      <c r="H373" s="377" t="s">
        <v>560</v>
      </c>
      <c r="I373" s="377"/>
      <c r="J373" s="377"/>
      <c r="K373" s="377"/>
      <c r="L373" s="450"/>
      <c r="M373" s="450"/>
      <c r="N373" s="6">
        <v>10.75</v>
      </c>
      <c r="O373" s="371" t="str">
        <f t="shared" si="12"/>
        <v/>
      </c>
      <c r="P373" s="19" t="s">
        <v>354</v>
      </c>
      <c r="Q373" s="375" t="s">
        <v>548</v>
      </c>
      <c r="R373" s="375"/>
      <c r="S373" s="375"/>
      <c r="T373" s="106"/>
      <c r="U373" s="25"/>
      <c r="V373" s="320"/>
      <c r="W373" s="320"/>
    </row>
    <row r="374" spans="3:25" s="321" customFormat="1" ht="18.75" hidden="1" x14ac:dyDescent="0.3">
      <c r="C374" s="323"/>
      <c r="D374" s="15"/>
      <c r="E374" s="15"/>
      <c r="F374" s="21" t="s">
        <v>546</v>
      </c>
      <c r="G374" s="20" t="s">
        <v>945</v>
      </c>
      <c r="H374" s="377" t="s">
        <v>540</v>
      </c>
      <c r="I374" s="377"/>
      <c r="J374" s="377"/>
      <c r="K374" s="377"/>
      <c r="L374" s="450"/>
      <c r="M374" s="450"/>
      <c r="N374" s="6">
        <v>10.75</v>
      </c>
      <c r="O374" s="371" t="str">
        <f t="shared" si="12"/>
        <v/>
      </c>
      <c r="P374" s="19" t="s">
        <v>561</v>
      </c>
      <c r="Q374" s="375" t="s">
        <v>548</v>
      </c>
      <c r="R374" s="375"/>
      <c r="S374" s="375"/>
      <c r="T374" s="106"/>
      <c r="U374" s="25"/>
      <c r="V374" s="320"/>
      <c r="W374" s="320"/>
    </row>
    <row r="375" spans="3:25" ht="21.75" thickBot="1" x14ac:dyDescent="0.4">
      <c r="C375" s="322"/>
      <c r="D375" s="9"/>
      <c r="E375" s="170"/>
      <c r="F375" s="260"/>
      <c r="G375" s="261"/>
      <c r="H375" s="261"/>
      <c r="I375" s="261"/>
      <c r="J375" s="261"/>
      <c r="K375" s="228" t="s">
        <v>2746</v>
      </c>
      <c r="L375" s="441">
        <f>SUBTOTAL(9,L363:M374)/6</f>
        <v>0</v>
      </c>
      <c r="M375" s="442"/>
      <c r="N375" s="267"/>
      <c r="O375" s="23">
        <f>SUBTOTAL(9,O363:O374)</f>
        <v>0</v>
      </c>
      <c r="P375" s="267"/>
      <c r="Q375" s="267"/>
      <c r="R375" s="257"/>
      <c r="S375" s="259"/>
      <c r="T375" s="108"/>
      <c r="U375" s="24"/>
      <c r="V375" s="331"/>
      <c r="W375" s="331"/>
    </row>
    <row r="376" spans="3:25" ht="19.5" customHeight="1" thickTop="1" x14ac:dyDescent="0.35">
      <c r="C376" s="322"/>
      <c r="D376" s="9"/>
      <c r="E376" s="170"/>
      <c r="F376" s="262"/>
      <c r="G376" s="263"/>
      <c r="H376" s="417"/>
      <c r="I376" s="417"/>
      <c r="J376" s="417"/>
      <c r="K376" s="417"/>
      <c r="L376" s="218"/>
      <c r="M376" s="218"/>
      <c r="N376" s="218"/>
      <c r="O376" s="218"/>
      <c r="P376" s="218"/>
      <c r="Q376" s="266"/>
      <c r="R376" s="254"/>
      <c r="S376" s="255"/>
      <c r="T376" s="108"/>
      <c r="U376" s="24"/>
      <c r="V376" s="331"/>
      <c r="W376" s="331"/>
    </row>
    <row r="377" spans="3:25" ht="33" customHeight="1" x14ac:dyDescent="0.55000000000000004">
      <c r="C377" s="322"/>
      <c r="D377" s="9"/>
      <c r="E377" s="170"/>
      <c r="F377" s="262"/>
      <c r="G377" s="263"/>
      <c r="H377" s="418" t="s">
        <v>2765</v>
      </c>
      <c r="I377" s="418"/>
      <c r="J377" s="418"/>
      <c r="K377" s="418"/>
      <c r="L377" s="218"/>
      <c r="M377" s="218"/>
      <c r="N377" s="218"/>
      <c r="O377" s="218"/>
      <c r="P377" s="218"/>
      <c r="Q377" s="266"/>
      <c r="R377" s="254"/>
      <c r="S377" s="255"/>
      <c r="T377" s="108"/>
      <c r="U377" s="24"/>
      <c r="V377" s="331"/>
      <c r="W377" s="331"/>
    </row>
    <row r="378" spans="3:25" ht="24" x14ac:dyDescent="0.3">
      <c r="C378" s="322"/>
      <c r="D378" s="9"/>
      <c r="E378" s="170"/>
      <c r="F378" s="264"/>
      <c r="G378" s="265"/>
      <c r="H378" s="514" t="s">
        <v>2766</v>
      </c>
      <c r="I378" s="514"/>
      <c r="J378" s="514"/>
      <c r="K378" s="514"/>
      <c r="L378" s="218"/>
      <c r="M378" s="218"/>
      <c r="N378" s="207"/>
      <c r="O378" s="207"/>
      <c r="P378" s="207"/>
      <c r="Q378" s="207"/>
      <c r="R378" s="254"/>
      <c r="S378" s="255"/>
      <c r="T378" s="108"/>
      <c r="U378" s="24"/>
      <c r="V378" s="331"/>
      <c r="W378" s="331"/>
    </row>
    <row r="379" spans="3:25" ht="49.5" customHeight="1" x14ac:dyDescent="0.35">
      <c r="C379" s="322"/>
      <c r="D379" s="9"/>
      <c r="E379" s="170"/>
      <c r="F379" s="262"/>
      <c r="G379" s="263"/>
      <c r="H379" s="512" t="s">
        <v>562</v>
      </c>
      <c r="I379" s="512"/>
      <c r="J379" s="512"/>
      <c r="K379" s="513"/>
      <c r="L379" s="363" t="s">
        <v>28</v>
      </c>
      <c r="M379" s="364" t="s">
        <v>61</v>
      </c>
      <c r="N379" s="204" t="s">
        <v>30</v>
      </c>
      <c r="O379" s="205" t="s">
        <v>31</v>
      </c>
      <c r="P379" s="204" t="s">
        <v>32</v>
      </c>
      <c r="Q379" s="508" t="s">
        <v>33</v>
      </c>
      <c r="R379" s="508"/>
      <c r="S379" s="509"/>
      <c r="T379" s="103"/>
      <c r="U379" s="24"/>
      <c r="V379" s="331"/>
      <c r="W379" s="331"/>
    </row>
    <row r="380" spans="3:25" ht="18.75" x14ac:dyDescent="0.3">
      <c r="C380" s="322"/>
      <c r="D380" s="9"/>
      <c r="E380" s="9"/>
      <c r="F380" s="21" t="s">
        <v>62</v>
      </c>
      <c r="G380" s="20" t="s">
        <v>945</v>
      </c>
      <c r="H380" s="376" t="s">
        <v>2799</v>
      </c>
      <c r="I380" s="376"/>
      <c r="J380" s="376" t="s">
        <v>564</v>
      </c>
      <c r="K380" s="376"/>
      <c r="L380" s="1"/>
      <c r="M380" s="2"/>
      <c r="N380" s="19">
        <v>13</v>
      </c>
      <c r="O380" s="22" t="str">
        <f>IF(AND(L380="",M380=""),"",(L380*N380)+(M380*(N380+3.47)))</f>
        <v/>
      </c>
      <c r="P380" s="21" t="s">
        <v>565</v>
      </c>
      <c r="Q380" s="375" t="s">
        <v>566</v>
      </c>
      <c r="R380" s="375"/>
      <c r="S380" s="375"/>
      <c r="T380" s="93"/>
      <c r="U380" s="11"/>
      <c r="V380" s="320">
        <v>18</v>
      </c>
      <c r="W380" s="372" t="str">
        <f>IF(OR(G380="Collectors",G380="Special Pricing",G380="Boutique",G380="leafjoy littles™",G380="Premium"),
    IF(V380&gt;0,"Show","Hide"),
    IF(V380 &gt;= _xlfn.XLOOKUP(F380,'Min table'!C$3:C$5,),"Show","Hide")
)</f>
        <v>Show</v>
      </c>
      <c r="X380" s="317" t="s">
        <v>563</v>
      </c>
      <c r="Y380" s="317" t="s">
        <v>1753</v>
      </c>
    </row>
    <row r="381" spans="3:25" ht="18.75" hidden="1" x14ac:dyDescent="0.3">
      <c r="C381" s="322"/>
      <c r="D381" s="9"/>
      <c r="E381" s="9"/>
      <c r="F381" s="21" t="s">
        <v>62</v>
      </c>
      <c r="G381" s="20" t="s">
        <v>945</v>
      </c>
      <c r="H381" s="377" t="s">
        <v>567</v>
      </c>
      <c r="I381" s="377"/>
      <c r="J381" s="377" t="s">
        <v>568</v>
      </c>
      <c r="K381" s="377"/>
      <c r="L381" s="1"/>
      <c r="M381" s="2"/>
      <c r="N381" s="19">
        <v>13</v>
      </c>
      <c r="O381" s="22" t="str">
        <f t="shared" ref="O381:O446" si="13">IF(AND(L381="",M381=""),"",(L381*N381)+(M381*(N381+3.47)))</f>
        <v/>
      </c>
      <c r="P381" s="21" t="s">
        <v>569</v>
      </c>
      <c r="Q381" s="375" t="s">
        <v>566</v>
      </c>
      <c r="R381" s="375"/>
      <c r="S381" s="375"/>
      <c r="T381" s="93"/>
      <c r="U381" s="11"/>
      <c r="V381" s="320">
        <v>0</v>
      </c>
      <c r="W381" s="372" t="str">
        <f>IF(OR(G381="Collectors",G381="Special Pricing",G381="Boutique",G381="leafjoy littles™",G381="Premium"),
    IF(V381&gt;0,"Show","Hide"),
    IF(V381 &gt;= _xlfn.XLOOKUP(F381,'Min table'!C$3:C$5,),"Show","Hide")
)</f>
        <v>Hide</v>
      </c>
      <c r="X381" s="317" t="s">
        <v>567</v>
      </c>
      <c r="Y381" s="317" t="s">
        <v>1754</v>
      </c>
    </row>
    <row r="382" spans="3:25" ht="18.75" hidden="1" x14ac:dyDescent="0.3">
      <c r="C382" s="322"/>
      <c r="D382" s="9"/>
      <c r="E382" s="9"/>
      <c r="F382" s="21" t="s">
        <v>62</v>
      </c>
      <c r="G382" s="20" t="s">
        <v>945</v>
      </c>
      <c r="H382" s="377" t="s">
        <v>234</v>
      </c>
      <c r="I382" s="377"/>
      <c r="J382" s="377" t="s">
        <v>570</v>
      </c>
      <c r="K382" s="377"/>
      <c r="L382" s="1"/>
      <c r="M382" s="2"/>
      <c r="N382" s="19">
        <v>13</v>
      </c>
      <c r="O382" s="22" t="str">
        <f t="shared" si="13"/>
        <v/>
      </c>
      <c r="P382" s="21" t="s">
        <v>389</v>
      </c>
      <c r="Q382" s="375" t="s">
        <v>566</v>
      </c>
      <c r="R382" s="375"/>
      <c r="S382" s="375"/>
      <c r="T382" s="93"/>
      <c r="U382" s="11"/>
      <c r="V382" s="320">
        <v>0</v>
      </c>
      <c r="W382" s="372" t="str">
        <f>IF(OR(G382="Collectors",G382="Special Pricing",G382="Boutique",G382="leafjoy littles™",G382="Premium"),
    IF(V382&gt;0,"Show","Hide"),
    IF(V382 &gt;= _xlfn.XLOOKUP(F382,'Min table'!C$3:C$5,),"Show","Hide")
)</f>
        <v>Hide</v>
      </c>
      <c r="X382" s="317" t="s">
        <v>234</v>
      </c>
      <c r="Y382" s="317" t="s">
        <v>1755</v>
      </c>
    </row>
    <row r="383" spans="3:25" ht="18.75" x14ac:dyDescent="0.3">
      <c r="C383" s="322"/>
      <c r="D383" s="9"/>
      <c r="E383" s="9"/>
      <c r="F383" s="21" t="s">
        <v>62</v>
      </c>
      <c r="G383" s="20" t="s">
        <v>945</v>
      </c>
      <c r="H383" s="377" t="s">
        <v>571</v>
      </c>
      <c r="I383" s="377"/>
      <c r="J383" s="377" t="s">
        <v>572</v>
      </c>
      <c r="K383" s="377"/>
      <c r="L383" s="1"/>
      <c r="M383" s="2"/>
      <c r="N383" s="19">
        <v>13</v>
      </c>
      <c r="O383" s="22" t="str">
        <f t="shared" si="13"/>
        <v/>
      </c>
      <c r="P383" s="21" t="s">
        <v>573</v>
      </c>
      <c r="Q383" s="375" t="s">
        <v>566</v>
      </c>
      <c r="R383" s="375"/>
      <c r="S383" s="375"/>
      <c r="T383" s="106"/>
      <c r="U383" s="11"/>
      <c r="V383" s="320">
        <v>335</v>
      </c>
      <c r="W383" s="372" t="str">
        <f>IF(OR(G383="Collectors",G383="Special Pricing",G383="Boutique",G383="leafjoy littles™",G383="Premium"),
    IF(V383&gt;0,"Show","Hide"),
    IF(V383 &gt;= _xlfn.XLOOKUP(F383,'Min table'!C$3:C$5,),"Show","Hide")
)</f>
        <v>Show</v>
      </c>
      <c r="X383" s="317" t="s">
        <v>571</v>
      </c>
      <c r="Y383" s="317" t="s">
        <v>1756</v>
      </c>
    </row>
    <row r="384" spans="3:25" ht="18.75" x14ac:dyDescent="0.3">
      <c r="C384" s="322"/>
      <c r="D384" s="9"/>
      <c r="E384" s="9"/>
      <c r="F384" s="21" t="s">
        <v>62</v>
      </c>
      <c r="G384" s="20" t="s">
        <v>945</v>
      </c>
      <c r="H384" s="377" t="s">
        <v>574</v>
      </c>
      <c r="I384" s="377"/>
      <c r="J384" s="377" t="s">
        <v>575</v>
      </c>
      <c r="K384" s="377"/>
      <c r="L384" s="1"/>
      <c r="M384" s="2"/>
      <c r="N384" s="19">
        <v>13</v>
      </c>
      <c r="O384" s="22" t="str">
        <f t="shared" si="13"/>
        <v/>
      </c>
      <c r="P384" s="21" t="s">
        <v>565</v>
      </c>
      <c r="Q384" s="375" t="s">
        <v>566</v>
      </c>
      <c r="R384" s="375"/>
      <c r="S384" s="375"/>
      <c r="T384" s="106"/>
      <c r="U384" s="11"/>
      <c r="V384" s="320">
        <v>120</v>
      </c>
      <c r="W384" s="372" t="str">
        <f>IF(OR(G384="Collectors",G384="Special Pricing",G384="Boutique",G384="leafjoy littles™",G384="Premium"),
    IF(V384&gt;0,"Show","Hide"),
    IF(V384 &gt;= _xlfn.XLOOKUP(F384,'Min table'!C$3:C$5,),"Show","Hide")
)</f>
        <v>Show</v>
      </c>
      <c r="X384" s="317" t="s">
        <v>574</v>
      </c>
      <c r="Y384" s="317" t="s">
        <v>1757</v>
      </c>
    </row>
    <row r="385" spans="3:25" ht="18.75" x14ac:dyDescent="0.3">
      <c r="C385" s="322"/>
      <c r="D385" s="9"/>
      <c r="E385" s="9"/>
      <c r="F385" s="21" t="s">
        <v>62</v>
      </c>
      <c r="G385" s="20" t="s">
        <v>945</v>
      </c>
      <c r="H385" s="376" t="s">
        <v>243</v>
      </c>
      <c r="I385" s="376"/>
      <c r="J385" s="376" t="s">
        <v>576</v>
      </c>
      <c r="K385" s="376"/>
      <c r="L385" s="1"/>
      <c r="M385" s="2"/>
      <c r="N385" s="19">
        <v>13</v>
      </c>
      <c r="O385" s="22" t="str">
        <f t="shared" si="13"/>
        <v/>
      </c>
      <c r="P385" s="21" t="s">
        <v>577</v>
      </c>
      <c r="Q385" s="375" t="s">
        <v>566</v>
      </c>
      <c r="R385" s="375"/>
      <c r="S385" s="375"/>
      <c r="T385" s="93"/>
      <c r="U385" s="11"/>
      <c r="V385" s="320">
        <v>20</v>
      </c>
      <c r="W385" s="372" t="str">
        <f>IF(OR(G385="Collectors",G385="Special Pricing",G385="Boutique",G385="leafjoy littles™",G385="Premium"),
    IF(V385&gt;0,"Show","Hide"),
    IF(V385 &gt;= _xlfn.XLOOKUP(F385,'Min table'!C$3:C$5,),"Show","Hide")
)</f>
        <v>Show</v>
      </c>
      <c r="X385" s="317" t="s">
        <v>243</v>
      </c>
      <c r="Y385" s="317" t="s">
        <v>1758</v>
      </c>
    </row>
    <row r="386" spans="3:25" ht="18.75" x14ac:dyDescent="0.3">
      <c r="C386" s="322"/>
      <c r="D386" s="9"/>
      <c r="E386" s="9"/>
      <c r="F386" s="21" t="s">
        <v>62</v>
      </c>
      <c r="G386" s="20" t="s">
        <v>945</v>
      </c>
      <c r="H386" s="377" t="s">
        <v>578</v>
      </c>
      <c r="I386" s="377"/>
      <c r="J386" s="377" t="s">
        <v>579</v>
      </c>
      <c r="K386" s="377"/>
      <c r="L386" s="1"/>
      <c r="M386" s="2"/>
      <c r="N386" s="19">
        <v>13</v>
      </c>
      <c r="O386" s="22" t="str">
        <f t="shared" si="13"/>
        <v/>
      </c>
      <c r="P386" s="21" t="s">
        <v>580</v>
      </c>
      <c r="Q386" s="375" t="s">
        <v>566</v>
      </c>
      <c r="R386" s="375"/>
      <c r="S386" s="375"/>
      <c r="T386" s="93"/>
      <c r="U386" s="11"/>
      <c r="V386" s="320">
        <v>67</v>
      </c>
      <c r="W386" s="372" t="str">
        <f>IF(OR(G386="Collectors",G386="Special Pricing",G386="Boutique",G386="leafjoy littles™",G386="Premium"),
    IF(V386&gt;0,"Show","Hide"),
    IF(V386 &gt;= _xlfn.XLOOKUP(F386,'Min table'!C$3:C$5,),"Show","Hide")
)</f>
        <v>Show</v>
      </c>
      <c r="X386" s="317" t="s">
        <v>578</v>
      </c>
      <c r="Y386" s="317" t="s">
        <v>1759</v>
      </c>
    </row>
    <row r="387" spans="3:25" ht="18.75" x14ac:dyDescent="0.3">
      <c r="C387" s="322"/>
      <c r="D387" s="9"/>
      <c r="E387" s="9"/>
      <c r="F387" s="21" t="s">
        <v>62</v>
      </c>
      <c r="G387" s="20" t="s">
        <v>945</v>
      </c>
      <c r="H387" s="376" t="s">
        <v>581</v>
      </c>
      <c r="I387" s="376"/>
      <c r="J387" s="376" t="s">
        <v>582</v>
      </c>
      <c r="K387" s="376"/>
      <c r="L387" s="1"/>
      <c r="M387" s="2"/>
      <c r="N387" s="19">
        <v>13</v>
      </c>
      <c r="O387" s="22" t="str">
        <f t="shared" si="13"/>
        <v/>
      </c>
      <c r="P387" s="21" t="s">
        <v>583</v>
      </c>
      <c r="Q387" s="375" t="s">
        <v>566</v>
      </c>
      <c r="R387" s="375"/>
      <c r="S387" s="375"/>
      <c r="T387" s="106"/>
      <c r="U387" s="11"/>
      <c r="V387" s="320">
        <v>24</v>
      </c>
      <c r="W387" s="372" t="str">
        <f>IF(OR(G387="Collectors",G387="Special Pricing",G387="Boutique",G387="leafjoy littles™",G387="Premium"),
    IF(V387&gt;0,"Show","Hide"),
    IF(V387 &gt;= _xlfn.XLOOKUP(F387,'Min table'!C$3:C$5,),"Show","Hide")
)</f>
        <v>Show</v>
      </c>
      <c r="X387" s="317" t="s">
        <v>581</v>
      </c>
      <c r="Y387" s="317" t="s">
        <v>1760</v>
      </c>
    </row>
    <row r="388" spans="3:25" ht="18.75" hidden="1" x14ac:dyDescent="0.3">
      <c r="C388" s="322"/>
      <c r="D388" s="9"/>
      <c r="E388" s="9"/>
      <c r="F388" s="21" t="s">
        <v>62</v>
      </c>
      <c r="G388" s="20" t="s">
        <v>945</v>
      </c>
      <c r="H388" s="377" t="s">
        <v>584</v>
      </c>
      <c r="I388" s="377"/>
      <c r="J388" s="377" t="s">
        <v>564</v>
      </c>
      <c r="K388" s="377"/>
      <c r="L388" s="1"/>
      <c r="M388" s="2"/>
      <c r="N388" s="19">
        <v>13</v>
      </c>
      <c r="O388" s="22" t="str">
        <f t="shared" si="13"/>
        <v/>
      </c>
      <c r="P388" s="21" t="s">
        <v>565</v>
      </c>
      <c r="Q388" s="375" t="s">
        <v>566</v>
      </c>
      <c r="R388" s="375"/>
      <c r="S388" s="375"/>
      <c r="T388" s="93"/>
      <c r="U388" s="11"/>
      <c r="V388" s="320">
        <v>0</v>
      </c>
      <c r="W388" s="372" t="str">
        <f>IF(OR(G388="Collectors",G388="Special Pricing",G388="Boutique",G388="leafjoy littles™",G388="Premium"),
    IF(V388&gt;0,"Show","Hide"),
    IF(V388 &gt;= _xlfn.XLOOKUP(F388,'Min table'!C$3:C$5,),"Show","Hide")
)</f>
        <v>Hide</v>
      </c>
      <c r="X388" s="317" t="s">
        <v>584</v>
      </c>
      <c r="Y388" s="317" t="s">
        <v>1761</v>
      </c>
    </row>
    <row r="389" spans="3:25" ht="18.75" hidden="1" x14ac:dyDescent="0.3">
      <c r="C389" s="322"/>
      <c r="D389" s="9"/>
      <c r="E389" s="9"/>
      <c r="F389" s="21" t="s">
        <v>62</v>
      </c>
      <c r="G389" s="20" t="s">
        <v>1728</v>
      </c>
      <c r="H389" s="377" t="s">
        <v>258</v>
      </c>
      <c r="I389" s="377"/>
      <c r="J389" s="377" t="s">
        <v>585</v>
      </c>
      <c r="K389" s="377"/>
      <c r="L389" s="1"/>
      <c r="M389" s="2"/>
      <c r="N389" s="19">
        <v>175</v>
      </c>
      <c r="O389" s="22" t="str">
        <f t="shared" si="13"/>
        <v/>
      </c>
      <c r="P389" s="21" t="s">
        <v>586</v>
      </c>
      <c r="Q389" s="439" t="s">
        <v>72</v>
      </c>
      <c r="R389" s="439"/>
      <c r="S389" s="439"/>
      <c r="T389" s="104"/>
      <c r="U389" s="11"/>
      <c r="V389" s="320">
        <v>0</v>
      </c>
      <c r="W389" s="372" t="str">
        <f>IF(OR(G389="Collectors",G389="Special Pricing",G389="Boutique",G389="leafjoy littles™",G389="Premium"),
    IF(V389&gt;0,"Show","Hide"),
    IF(V389 &gt;= _xlfn.XLOOKUP(F389,'Min table'!C$3:C$5,),"Show","Hide")
)</f>
        <v>Hide</v>
      </c>
      <c r="X389" s="317" t="s">
        <v>258</v>
      </c>
      <c r="Y389" s="317" t="s">
        <v>1762</v>
      </c>
    </row>
    <row r="390" spans="3:25" ht="18.75" hidden="1" x14ac:dyDescent="0.3">
      <c r="C390" s="322"/>
      <c r="D390" s="9"/>
      <c r="E390" s="9"/>
      <c r="F390" s="21" t="s">
        <v>62</v>
      </c>
      <c r="G390" s="20" t="s">
        <v>1728</v>
      </c>
      <c r="H390" s="377" t="s">
        <v>261</v>
      </c>
      <c r="I390" s="377"/>
      <c r="J390" s="377" t="s">
        <v>587</v>
      </c>
      <c r="K390" s="377"/>
      <c r="L390" s="1"/>
      <c r="M390" s="2"/>
      <c r="N390" s="19">
        <v>250</v>
      </c>
      <c r="O390" s="22" t="str">
        <f t="shared" si="13"/>
        <v/>
      </c>
      <c r="P390" s="21" t="s">
        <v>586</v>
      </c>
      <c r="Q390" s="439" t="s">
        <v>72</v>
      </c>
      <c r="R390" s="439"/>
      <c r="S390" s="439"/>
      <c r="T390" s="92"/>
      <c r="U390" s="11"/>
      <c r="V390" s="320">
        <v>0</v>
      </c>
      <c r="W390" s="372" t="str">
        <f>IF(OR(G390="Collectors",G390="Special Pricing",G390="Boutique",G390="leafjoy littles™",G390="Premium"),
    IF(V390&gt;0,"Show","Hide"),
    IF(V390 &gt;= _xlfn.XLOOKUP(F390,'Min table'!C$3:C$5,),"Show","Hide")
)</f>
        <v>Hide</v>
      </c>
      <c r="X390" s="317" t="s">
        <v>261</v>
      </c>
      <c r="Y390" s="317" t="s">
        <v>1763</v>
      </c>
    </row>
    <row r="391" spans="3:25" ht="18.75" hidden="1" x14ac:dyDescent="0.3">
      <c r="C391" s="322"/>
      <c r="D391" s="9"/>
      <c r="E391" s="9"/>
      <c r="F391" s="21" t="s">
        <v>62</v>
      </c>
      <c r="G391" s="20" t="s">
        <v>1728</v>
      </c>
      <c r="H391" s="377" t="s">
        <v>271</v>
      </c>
      <c r="I391" s="377"/>
      <c r="J391" s="377" t="s">
        <v>588</v>
      </c>
      <c r="K391" s="377"/>
      <c r="L391" s="1"/>
      <c r="M391" s="2"/>
      <c r="N391" s="19">
        <v>250</v>
      </c>
      <c r="O391" s="22" t="str">
        <f t="shared" si="13"/>
        <v/>
      </c>
      <c r="P391" s="21" t="s">
        <v>586</v>
      </c>
      <c r="Q391" s="439" t="s">
        <v>72</v>
      </c>
      <c r="R391" s="439"/>
      <c r="S391" s="439"/>
      <c r="T391" s="92"/>
      <c r="U391" s="11"/>
      <c r="V391" s="320">
        <v>0</v>
      </c>
      <c r="W391" s="372" t="str">
        <f>IF(OR(G391="Collectors",G391="Special Pricing",G391="Boutique",G391="leafjoy littles™",G391="Premium"),
    IF(V391&gt;0,"Show","Hide"),
    IF(V391 &gt;= _xlfn.XLOOKUP(F391,'Min table'!C$3:C$5,),"Show","Hide")
)</f>
        <v>Hide</v>
      </c>
      <c r="X391" s="317" t="s">
        <v>271</v>
      </c>
      <c r="Y391" s="317" t="s">
        <v>1764</v>
      </c>
    </row>
    <row r="392" spans="3:25" ht="18.75" hidden="1" x14ac:dyDescent="0.3">
      <c r="C392" s="322"/>
      <c r="D392" s="9"/>
      <c r="E392" s="9"/>
      <c r="F392" s="21" t="s">
        <v>62</v>
      </c>
      <c r="G392" s="20" t="s">
        <v>1728</v>
      </c>
      <c r="H392" s="377" t="s">
        <v>589</v>
      </c>
      <c r="I392" s="377"/>
      <c r="J392" s="377" t="s">
        <v>590</v>
      </c>
      <c r="K392" s="377"/>
      <c r="L392" s="1"/>
      <c r="M392" s="2"/>
      <c r="N392" s="19">
        <v>250</v>
      </c>
      <c r="O392" s="22" t="str">
        <f t="shared" si="13"/>
        <v/>
      </c>
      <c r="P392" s="21" t="s">
        <v>586</v>
      </c>
      <c r="Q392" s="439" t="s">
        <v>72</v>
      </c>
      <c r="R392" s="439"/>
      <c r="S392" s="439"/>
      <c r="T392" s="92"/>
      <c r="U392" s="11"/>
      <c r="V392" s="320">
        <v>0</v>
      </c>
      <c r="W392" s="372" t="str">
        <f>IF(OR(G392="Collectors",G392="Special Pricing",G392="Boutique",G392="leafjoy littles™",G392="Premium"),
    IF(V392&gt;0,"Show","Hide"),
    IF(V392 &gt;= _xlfn.XLOOKUP(F392,'Min table'!C$3:C$5,),"Show","Hide")
)</f>
        <v>Hide</v>
      </c>
      <c r="X392" s="317" t="s">
        <v>589</v>
      </c>
      <c r="Y392" s="317" t="s">
        <v>1765</v>
      </c>
    </row>
    <row r="393" spans="3:25" ht="18.75" hidden="1" x14ac:dyDescent="0.3">
      <c r="C393" s="322"/>
      <c r="D393" s="9"/>
      <c r="E393" s="9"/>
      <c r="F393" s="21" t="s">
        <v>62</v>
      </c>
      <c r="G393" s="20" t="s">
        <v>1728</v>
      </c>
      <c r="H393" s="377" t="s">
        <v>283</v>
      </c>
      <c r="I393" s="377"/>
      <c r="J393" s="377" t="s">
        <v>591</v>
      </c>
      <c r="K393" s="377"/>
      <c r="L393" s="1"/>
      <c r="M393" s="2"/>
      <c r="N393" s="19">
        <v>250</v>
      </c>
      <c r="O393" s="22" t="str">
        <f t="shared" si="13"/>
        <v/>
      </c>
      <c r="P393" s="21" t="s">
        <v>586</v>
      </c>
      <c r="Q393" s="439" t="s">
        <v>72</v>
      </c>
      <c r="R393" s="439"/>
      <c r="S393" s="439"/>
      <c r="T393" s="92"/>
      <c r="U393" s="11"/>
      <c r="V393" s="320">
        <v>0</v>
      </c>
      <c r="W393" s="372" t="str">
        <f>IF(OR(G393="Collectors",G393="Special Pricing",G393="Boutique",G393="leafjoy littles™",G393="Premium"),
    IF(V393&gt;0,"Show","Hide"),
    IF(V393 &gt;= _xlfn.XLOOKUP(F393,'Min table'!C$3:C$5,),"Show","Hide")
)</f>
        <v>Hide</v>
      </c>
      <c r="X393" s="317" t="s">
        <v>283</v>
      </c>
      <c r="Y393" s="317" t="s">
        <v>1766</v>
      </c>
    </row>
    <row r="394" spans="3:25" ht="18.75" hidden="1" x14ac:dyDescent="0.3">
      <c r="C394" s="322"/>
      <c r="D394" s="9"/>
      <c r="E394" s="9"/>
      <c r="F394" s="21" t="s">
        <v>62</v>
      </c>
      <c r="G394" s="20" t="s">
        <v>1728</v>
      </c>
      <c r="H394" s="377" t="s">
        <v>592</v>
      </c>
      <c r="I394" s="377"/>
      <c r="J394" s="377" t="s">
        <v>593</v>
      </c>
      <c r="K394" s="377"/>
      <c r="L394" s="1"/>
      <c r="M394" s="2"/>
      <c r="N394" s="19">
        <v>250</v>
      </c>
      <c r="O394" s="22" t="str">
        <f t="shared" si="13"/>
        <v/>
      </c>
      <c r="P394" s="21" t="s">
        <v>586</v>
      </c>
      <c r="Q394" s="439" t="s">
        <v>72</v>
      </c>
      <c r="R394" s="439"/>
      <c r="S394" s="439"/>
      <c r="T394" s="92"/>
      <c r="U394" s="11"/>
      <c r="V394" s="320">
        <v>0</v>
      </c>
      <c r="W394" s="372" t="str">
        <f>IF(OR(G394="Collectors",G394="Special Pricing",G394="Boutique",G394="leafjoy littles™",G394="Premium"),
    IF(V394&gt;0,"Show","Hide"),
    IF(V394 &gt;= _xlfn.XLOOKUP(F394,'Min table'!C$3:C$5,),"Show","Hide")
)</f>
        <v>Hide</v>
      </c>
      <c r="X394" s="317" t="s">
        <v>592</v>
      </c>
      <c r="Y394" s="317" t="s">
        <v>1767</v>
      </c>
    </row>
    <row r="395" spans="3:25" ht="18.75" hidden="1" x14ac:dyDescent="0.3">
      <c r="C395" s="322"/>
      <c r="D395" s="9"/>
      <c r="E395" s="9"/>
      <c r="F395" s="21" t="s">
        <v>62</v>
      </c>
      <c r="G395" s="20" t="s">
        <v>1728</v>
      </c>
      <c r="H395" s="377" t="s">
        <v>321</v>
      </c>
      <c r="I395" s="377"/>
      <c r="J395" s="377" t="s">
        <v>594</v>
      </c>
      <c r="K395" s="377"/>
      <c r="L395" s="1"/>
      <c r="M395" s="2"/>
      <c r="N395" s="19">
        <v>250</v>
      </c>
      <c r="O395" s="22" t="str">
        <f t="shared" si="13"/>
        <v/>
      </c>
      <c r="P395" s="21" t="s">
        <v>586</v>
      </c>
      <c r="Q395" s="439" t="s">
        <v>72</v>
      </c>
      <c r="R395" s="439"/>
      <c r="S395" s="439"/>
      <c r="T395" s="92"/>
      <c r="U395" s="11"/>
      <c r="V395" s="320">
        <v>0</v>
      </c>
      <c r="W395" s="372" t="str">
        <f>IF(OR(G395="Collectors",G395="Special Pricing",G395="Boutique",G395="leafjoy littles™",G395="Premium"),
    IF(V395&gt;0,"Show","Hide"),
    IF(V395 &gt;= _xlfn.XLOOKUP(F395,'Min table'!C$3:C$5,),"Show","Hide")
)</f>
        <v>Hide</v>
      </c>
      <c r="X395" s="317" t="s">
        <v>321</v>
      </c>
      <c r="Y395" s="317" t="s">
        <v>1768</v>
      </c>
    </row>
    <row r="396" spans="3:25" ht="18.75" x14ac:dyDescent="0.3">
      <c r="C396" s="322"/>
      <c r="D396" s="9"/>
      <c r="E396" s="9"/>
      <c r="F396" s="21" t="s">
        <v>62</v>
      </c>
      <c r="G396" s="20" t="s">
        <v>945</v>
      </c>
      <c r="H396" s="376" t="s">
        <v>2796</v>
      </c>
      <c r="I396" s="376"/>
      <c r="J396" s="376" t="s">
        <v>595</v>
      </c>
      <c r="K396" s="376"/>
      <c r="L396" s="1"/>
      <c r="M396" s="2"/>
      <c r="N396" s="19">
        <v>13</v>
      </c>
      <c r="O396" s="22" t="str">
        <f t="shared" si="13"/>
        <v/>
      </c>
      <c r="P396" s="21" t="s">
        <v>596</v>
      </c>
      <c r="Q396" s="375" t="s">
        <v>566</v>
      </c>
      <c r="R396" s="375"/>
      <c r="S396" s="375"/>
      <c r="T396" s="93"/>
      <c r="U396" s="11"/>
      <c r="V396" s="320">
        <v>17</v>
      </c>
      <c r="W396" s="372" t="str">
        <f>IF(OR(G396="Collectors",G396="Special Pricing",G396="Boutique",G396="leafjoy littles™",G396="Premium"),
    IF(V396&gt;0,"Show","Hide"),
    IF(V396 &gt;= _xlfn.XLOOKUP(F396,'Min table'!C$3:C$5,),"Show","Hide")
)</f>
        <v>Show</v>
      </c>
      <c r="X396" s="317" t="s">
        <v>345</v>
      </c>
      <c r="Y396" s="317" t="s">
        <v>1769</v>
      </c>
    </row>
    <row r="397" spans="3:25" ht="18.75" hidden="1" x14ac:dyDescent="0.3">
      <c r="C397" s="322"/>
      <c r="D397" s="9"/>
      <c r="E397" s="9"/>
      <c r="F397" s="21" t="s">
        <v>62</v>
      </c>
      <c r="G397" s="20" t="s">
        <v>945</v>
      </c>
      <c r="H397" s="377" t="s">
        <v>597</v>
      </c>
      <c r="I397" s="377"/>
      <c r="J397" s="377" t="s">
        <v>598</v>
      </c>
      <c r="K397" s="377"/>
      <c r="L397" s="1"/>
      <c r="M397" s="2"/>
      <c r="N397" s="19">
        <v>13</v>
      </c>
      <c r="O397" s="22" t="str">
        <f t="shared" si="13"/>
        <v/>
      </c>
      <c r="P397" s="21" t="s">
        <v>573</v>
      </c>
      <c r="Q397" s="375" t="s">
        <v>566</v>
      </c>
      <c r="R397" s="375"/>
      <c r="S397" s="375"/>
      <c r="T397" s="93"/>
      <c r="U397" s="11"/>
      <c r="V397" s="320">
        <v>0</v>
      </c>
      <c r="W397" s="372" t="str">
        <f>IF(OR(G397="Collectors",G397="Special Pricing",G397="Boutique",G397="leafjoy littles™",G397="Premium"),
    IF(V397&gt;0,"Show","Hide"),
    IF(V397 &gt;= _xlfn.XLOOKUP(F397,'Min table'!C$3:C$5,),"Show","Hide")
)</f>
        <v>Hide</v>
      </c>
      <c r="X397" s="317" t="s">
        <v>597</v>
      </c>
      <c r="Y397" s="317" t="s">
        <v>1770</v>
      </c>
    </row>
    <row r="398" spans="3:25" ht="18.75" x14ac:dyDescent="0.3">
      <c r="C398" s="322"/>
      <c r="D398" s="9"/>
      <c r="E398" s="9"/>
      <c r="F398" s="21" t="s">
        <v>62</v>
      </c>
      <c r="G398" s="20" t="s">
        <v>945</v>
      </c>
      <c r="H398" s="376" t="s">
        <v>362</v>
      </c>
      <c r="I398" s="376"/>
      <c r="J398" s="376" t="s">
        <v>599</v>
      </c>
      <c r="K398" s="376"/>
      <c r="L398" s="1"/>
      <c r="M398" s="2"/>
      <c r="N398" s="19">
        <v>13</v>
      </c>
      <c r="O398" s="22" t="str">
        <f t="shared" si="13"/>
        <v/>
      </c>
      <c r="P398" s="21" t="s">
        <v>600</v>
      </c>
      <c r="Q398" s="375" t="s">
        <v>566</v>
      </c>
      <c r="R398" s="375"/>
      <c r="S398" s="375"/>
      <c r="T398" s="106"/>
      <c r="U398" s="11"/>
      <c r="V398" s="320">
        <v>39</v>
      </c>
      <c r="W398" s="372" t="str">
        <f>IF(OR(G398="Collectors",G398="Special Pricing",G398="Boutique",G398="leafjoy littles™",G398="Premium"),
    IF(V398&gt;0,"Show","Hide"),
    IF(V398 &gt;= _xlfn.XLOOKUP(F398,'Min table'!C$3:C$5,),"Show","Hide")
)</f>
        <v>Show</v>
      </c>
      <c r="X398" s="317" t="s">
        <v>362</v>
      </c>
      <c r="Y398" s="317" t="s">
        <v>1771</v>
      </c>
    </row>
    <row r="399" spans="3:25" ht="18.75" hidden="1" x14ac:dyDescent="0.3">
      <c r="C399" s="322"/>
      <c r="D399" s="9"/>
      <c r="E399" s="9"/>
      <c r="F399" s="21" t="s">
        <v>62</v>
      </c>
      <c r="G399" s="20" t="s">
        <v>945</v>
      </c>
      <c r="H399" s="377" t="s">
        <v>366</v>
      </c>
      <c r="I399" s="377"/>
      <c r="J399" s="377" t="s">
        <v>601</v>
      </c>
      <c r="K399" s="377"/>
      <c r="L399" s="1"/>
      <c r="M399" s="2"/>
      <c r="N399" s="19">
        <v>13</v>
      </c>
      <c r="O399" s="22" t="str">
        <f t="shared" si="13"/>
        <v/>
      </c>
      <c r="P399" s="21" t="s">
        <v>602</v>
      </c>
      <c r="Q399" s="375" t="s">
        <v>566</v>
      </c>
      <c r="R399" s="375"/>
      <c r="S399" s="375"/>
      <c r="T399" s="93"/>
      <c r="U399" s="11"/>
      <c r="V399" s="320">
        <v>0</v>
      </c>
      <c r="W399" s="372" t="str">
        <f>IF(OR(G399="Collectors",G399="Special Pricing",G399="Boutique",G399="leafjoy littles™",G399="Premium"),
    IF(V399&gt;0,"Show","Hide"),
    IF(V399 &gt;= _xlfn.XLOOKUP(F399,'Min table'!C$3:C$5,),"Show","Hide")
)</f>
        <v>Hide</v>
      </c>
      <c r="X399" s="342" t="s">
        <v>366</v>
      </c>
      <c r="Y399" s="317" t="s">
        <v>1772</v>
      </c>
    </row>
    <row r="400" spans="3:25" ht="18.75" x14ac:dyDescent="0.3">
      <c r="C400" s="322"/>
      <c r="D400" s="9"/>
      <c r="E400" s="9"/>
      <c r="F400" s="21" t="s">
        <v>62</v>
      </c>
      <c r="G400" s="20" t="s">
        <v>945</v>
      </c>
      <c r="H400" s="377" t="s">
        <v>368</v>
      </c>
      <c r="I400" s="377"/>
      <c r="J400" s="377" t="s">
        <v>603</v>
      </c>
      <c r="K400" s="377"/>
      <c r="L400" s="1"/>
      <c r="M400" s="2"/>
      <c r="N400" s="19">
        <v>13</v>
      </c>
      <c r="O400" s="22" t="str">
        <f t="shared" si="13"/>
        <v/>
      </c>
      <c r="P400" s="21" t="s">
        <v>604</v>
      </c>
      <c r="Q400" s="375" t="s">
        <v>566</v>
      </c>
      <c r="R400" s="375"/>
      <c r="S400" s="375"/>
      <c r="T400" s="93"/>
      <c r="U400" s="11"/>
      <c r="V400" s="320">
        <v>126</v>
      </c>
      <c r="W400" s="372" t="str">
        <f>IF(OR(G400="Collectors",G400="Special Pricing",G400="Boutique",G400="leafjoy littles™",G400="Premium"),
    IF(V400&gt;0,"Show","Hide"),
    IF(V400 &gt;= _xlfn.XLOOKUP(F400,'Min table'!C$3:C$5,),"Show","Hide")
)</f>
        <v>Show</v>
      </c>
      <c r="X400" s="317" t="s">
        <v>368</v>
      </c>
      <c r="Y400" s="317" t="s">
        <v>1773</v>
      </c>
    </row>
    <row r="401" spans="3:25" ht="18.75" hidden="1" x14ac:dyDescent="0.3">
      <c r="C401" s="322"/>
      <c r="D401" s="9"/>
      <c r="E401" s="9"/>
      <c r="F401" s="21" t="s">
        <v>62</v>
      </c>
      <c r="G401" s="20" t="s">
        <v>945</v>
      </c>
      <c r="H401" s="377" t="s">
        <v>605</v>
      </c>
      <c r="I401" s="377"/>
      <c r="J401" s="377" t="s">
        <v>606</v>
      </c>
      <c r="K401" s="377"/>
      <c r="L401" s="1"/>
      <c r="M401" s="2"/>
      <c r="N401" s="19">
        <v>13</v>
      </c>
      <c r="O401" s="22" t="str">
        <f t="shared" si="13"/>
        <v/>
      </c>
      <c r="P401" s="21" t="s">
        <v>600</v>
      </c>
      <c r="Q401" s="375" t="s">
        <v>566</v>
      </c>
      <c r="R401" s="375"/>
      <c r="S401" s="375"/>
      <c r="T401" s="93"/>
      <c r="U401" s="11"/>
      <c r="V401" s="320">
        <v>0</v>
      </c>
      <c r="W401" s="372" t="str">
        <f>IF(OR(G401="Collectors",G401="Special Pricing",G401="Boutique",G401="leafjoy littles™",G401="Premium"),
    IF(V401&gt;0,"Show","Hide"),
    IF(V401 &gt;= _xlfn.XLOOKUP(F401,'Min table'!C$3:C$5,),"Show","Hide")
)</f>
        <v>Hide</v>
      </c>
      <c r="X401" s="317" t="s">
        <v>605</v>
      </c>
      <c r="Y401" s="317" t="s">
        <v>1774</v>
      </c>
    </row>
    <row r="402" spans="3:25" ht="18.75" hidden="1" x14ac:dyDescent="0.3">
      <c r="C402" s="322"/>
      <c r="D402" s="9"/>
      <c r="E402" s="9"/>
      <c r="F402" s="21" t="s">
        <v>62</v>
      </c>
      <c r="G402" s="20" t="s">
        <v>945</v>
      </c>
      <c r="H402" s="377" t="s">
        <v>607</v>
      </c>
      <c r="I402" s="377"/>
      <c r="J402" s="377" t="s">
        <v>608</v>
      </c>
      <c r="K402" s="377"/>
      <c r="L402" s="1"/>
      <c r="M402" s="2"/>
      <c r="N402" s="19">
        <v>13</v>
      </c>
      <c r="O402" s="22" t="str">
        <f t="shared" si="13"/>
        <v/>
      </c>
      <c r="P402" s="21" t="s">
        <v>602</v>
      </c>
      <c r="Q402" s="375" t="s">
        <v>566</v>
      </c>
      <c r="R402" s="375"/>
      <c r="S402" s="375"/>
      <c r="T402" s="93"/>
      <c r="U402" s="11"/>
      <c r="V402" s="320">
        <v>0</v>
      </c>
      <c r="W402" s="372" t="str">
        <f>IF(OR(G402="Collectors",G402="Special Pricing",G402="Boutique",G402="leafjoy littles™",G402="Premium"),
    IF(V402&gt;0,"Show","Hide"),
    IF(V402 &gt;= _xlfn.XLOOKUP(F402,'Min table'!C$3:C$5,),"Show","Hide")
)</f>
        <v>Hide</v>
      </c>
      <c r="X402" s="317" t="s">
        <v>607</v>
      </c>
      <c r="Y402" s="317" t="s">
        <v>1775</v>
      </c>
    </row>
    <row r="403" spans="3:25" ht="18.75" hidden="1" x14ac:dyDescent="0.3">
      <c r="C403" s="322"/>
      <c r="D403" s="9"/>
      <c r="E403" s="9"/>
      <c r="F403" s="21" t="s">
        <v>62</v>
      </c>
      <c r="G403" s="20" t="s">
        <v>945</v>
      </c>
      <c r="H403" s="377" t="s">
        <v>378</v>
      </c>
      <c r="I403" s="377"/>
      <c r="J403" s="377" t="s">
        <v>609</v>
      </c>
      <c r="K403" s="377"/>
      <c r="L403" s="1"/>
      <c r="M403" s="2"/>
      <c r="N403" s="19">
        <v>13</v>
      </c>
      <c r="O403" s="22" t="str">
        <f t="shared" si="13"/>
        <v/>
      </c>
      <c r="P403" s="21" t="s">
        <v>573</v>
      </c>
      <c r="Q403" s="375" t="s">
        <v>566</v>
      </c>
      <c r="R403" s="375"/>
      <c r="S403" s="375"/>
      <c r="T403" s="93"/>
      <c r="U403" s="11"/>
      <c r="V403" s="320">
        <v>0</v>
      </c>
      <c r="W403" s="372" t="str">
        <f>IF(OR(G403="Collectors",G403="Special Pricing",G403="Boutique",G403="leafjoy littles™",G403="Premium"),
    IF(V403&gt;0,"Show","Hide"),
    IF(V403 &gt;= _xlfn.XLOOKUP(F403,'Min table'!C$3:C$5,),"Show","Hide")
)</f>
        <v>Hide</v>
      </c>
      <c r="X403" s="317" t="s">
        <v>378</v>
      </c>
      <c r="Y403" s="317" t="s">
        <v>1776</v>
      </c>
    </row>
    <row r="404" spans="3:25" ht="18.75" x14ac:dyDescent="0.3">
      <c r="C404" s="322"/>
      <c r="D404" s="9"/>
      <c r="E404" s="9"/>
      <c r="F404" s="21" t="s">
        <v>62</v>
      </c>
      <c r="G404" s="20" t="s">
        <v>945</v>
      </c>
      <c r="H404" s="376" t="s">
        <v>610</v>
      </c>
      <c r="I404" s="376"/>
      <c r="J404" s="376" t="s">
        <v>611</v>
      </c>
      <c r="K404" s="376"/>
      <c r="L404" s="1"/>
      <c r="M404" s="2"/>
      <c r="N404" s="19">
        <v>13</v>
      </c>
      <c r="O404" s="22" t="str">
        <f t="shared" si="13"/>
        <v/>
      </c>
      <c r="P404" s="21" t="s">
        <v>612</v>
      </c>
      <c r="Q404" s="375" t="s">
        <v>566</v>
      </c>
      <c r="R404" s="375"/>
      <c r="S404" s="375"/>
      <c r="T404" s="106"/>
      <c r="U404" s="11"/>
      <c r="V404" s="320">
        <v>13</v>
      </c>
      <c r="W404" s="372" t="str">
        <f>IF(OR(G404="Collectors",G404="Special Pricing",G404="Boutique",G404="leafjoy littles™",G404="Premium"),
    IF(V404&gt;0,"Show","Hide"),
    IF(V404 &gt;= _xlfn.XLOOKUP(F404,'Min table'!C$3:C$5,),"Show","Hide")
)</f>
        <v>Show</v>
      </c>
      <c r="X404" s="317" t="s">
        <v>610</v>
      </c>
      <c r="Y404" s="317" t="s">
        <v>1777</v>
      </c>
    </row>
    <row r="405" spans="3:25" ht="18.75" hidden="1" x14ac:dyDescent="0.3">
      <c r="C405" s="322"/>
      <c r="D405" s="9"/>
      <c r="E405" s="9"/>
      <c r="F405" s="21" t="s">
        <v>62</v>
      </c>
      <c r="G405" s="20" t="s">
        <v>945</v>
      </c>
      <c r="H405" s="377" t="s">
        <v>387</v>
      </c>
      <c r="I405" s="377"/>
      <c r="J405" s="377" t="s">
        <v>613</v>
      </c>
      <c r="K405" s="377"/>
      <c r="L405" s="1"/>
      <c r="M405" s="2"/>
      <c r="N405" s="19">
        <v>13</v>
      </c>
      <c r="O405" s="22" t="str">
        <f t="shared" si="13"/>
        <v/>
      </c>
      <c r="P405" s="21" t="s">
        <v>612</v>
      </c>
      <c r="Q405" s="375" t="s">
        <v>566</v>
      </c>
      <c r="R405" s="375"/>
      <c r="S405" s="375"/>
      <c r="T405" s="93"/>
      <c r="U405" s="11"/>
      <c r="V405" s="320">
        <v>0</v>
      </c>
      <c r="W405" s="372" t="str">
        <f>IF(OR(G405="Collectors",G405="Special Pricing",G405="Boutique",G405="leafjoy littles™",G405="Premium"),
    IF(V405&gt;0,"Show","Hide"),
    IF(V405 &gt;= _xlfn.XLOOKUP(F405,'Min table'!C$3:C$5,),"Show","Hide")
)</f>
        <v>Hide</v>
      </c>
      <c r="X405" s="317" t="s">
        <v>387</v>
      </c>
      <c r="Y405" s="317" t="s">
        <v>1778</v>
      </c>
    </row>
    <row r="406" spans="3:25" ht="18.75" hidden="1" x14ac:dyDescent="0.3">
      <c r="C406" s="322"/>
      <c r="D406" s="9"/>
      <c r="E406" s="9"/>
      <c r="F406" s="21" t="s">
        <v>62</v>
      </c>
      <c r="G406" s="20" t="s">
        <v>945</v>
      </c>
      <c r="H406" s="377" t="s">
        <v>390</v>
      </c>
      <c r="I406" s="377"/>
      <c r="J406" s="377" t="s">
        <v>614</v>
      </c>
      <c r="K406" s="377"/>
      <c r="L406" s="1"/>
      <c r="M406" s="2"/>
      <c r="N406" s="19">
        <v>13</v>
      </c>
      <c r="O406" s="22" t="str">
        <f t="shared" si="13"/>
        <v/>
      </c>
      <c r="P406" s="21" t="s">
        <v>577</v>
      </c>
      <c r="Q406" s="375" t="s">
        <v>566</v>
      </c>
      <c r="R406" s="375"/>
      <c r="S406" s="375"/>
      <c r="T406" s="93"/>
      <c r="U406" s="11"/>
      <c r="V406" s="320">
        <v>0</v>
      </c>
      <c r="W406" s="372" t="str">
        <f>IF(OR(G406="Collectors",G406="Special Pricing",G406="Boutique",G406="leafjoy littles™",G406="Premium"),
    IF(V406&gt;0,"Show","Hide"),
    IF(V406 &gt;= _xlfn.XLOOKUP(F406,'Min table'!C$3:C$5,),"Show","Hide")
)</f>
        <v>Hide</v>
      </c>
      <c r="X406" s="317" t="s">
        <v>390</v>
      </c>
      <c r="Y406" s="317" t="s">
        <v>1779</v>
      </c>
    </row>
    <row r="407" spans="3:25" ht="18.75" hidden="1" x14ac:dyDescent="0.3">
      <c r="C407" s="322"/>
      <c r="D407" s="9"/>
      <c r="E407" s="9"/>
      <c r="F407" s="21" t="s">
        <v>62</v>
      </c>
      <c r="G407" s="20" t="s">
        <v>945</v>
      </c>
      <c r="H407" s="377" t="s">
        <v>615</v>
      </c>
      <c r="I407" s="377"/>
      <c r="J407" s="377" t="s">
        <v>616</v>
      </c>
      <c r="K407" s="377"/>
      <c r="L407" s="1"/>
      <c r="M407" s="2"/>
      <c r="N407" s="19">
        <v>13</v>
      </c>
      <c r="O407" s="22" t="str">
        <f t="shared" si="13"/>
        <v/>
      </c>
      <c r="P407" s="21" t="s">
        <v>577</v>
      </c>
      <c r="Q407" s="375" t="s">
        <v>566</v>
      </c>
      <c r="R407" s="375"/>
      <c r="S407" s="375"/>
      <c r="T407" s="93"/>
      <c r="U407" s="11"/>
      <c r="V407" s="320">
        <v>1</v>
      </c>
      <c r="W407" s="372" t="str">
        <f>IF(OR(G407="Collectors",G407="Special Pricing",G407="Boutique",G407="leafjoy littles™",G407="Premium"),
    IF(V407&gt;0,"Show","Hide"),
    IF(V407 &gt;= _xlfn.XLOOKUP(F407,'Min table'!C$3:C$5,),"Show","Hide")
)</f>
        <v>Show</v>
      </c>
      <c r="X407" s="317" t="s">
        <v>615</v>
      </c>
      <c r="Y407" s="317" t="s">
        <v>1780</v>
      </c>
    </row>
    <row r="408" spans="3:25" ht="18.75" hidden="1" x14ac:dyDescent="0.3">
      <c r="C408" s="322"/>
      <c r="D408" s="9"/>
      <c r="E408" s="9"/>
      <c r="F408" s="21" t="s">
        <v>62</v>
      </c>
      <c r="G408" s="20" t="s">
        <v>945</v>
      </c>
      <c r="H408" s="377" t="s">
        <v>617</v>
      </c>
      <c r="I408" s="377"/>
      <c r="J408" s="377" t="s">
        <v>618</v>
      </c>
      <c r="K408" s="377"/>
      <c r="L408" s="1"/>
      <c r="M408" s="2"/>
      <c r="N408" s="19">
        <v>13</v>
      </c>
      <c r="O408" s="22" t="str">
        <f t="shared" si="13"/>
        <v/>
      </c>
      <c r="P408" s="21" t="s">
        <v>565</v>
      </c>
      <c r="Q408" s="375" t="s">
        <v>566</v>
      </c>
      <c r="R408" s="375"/>
      <c r="S408" s="375"/>
      <c r="T408" s="93"/>
      <c r="U408" s="11"/>
      <c r="V408" s="320">
        <v>11</v>
      </c>
      <c r="W408" s="372" t="str">
        <f>IF(OR(G408="Collectors",G408="Special Pricing",G408="Boutique",G408="leafjoy littles™",G408="Premium"),
    IF(V408&gt;0,"Show","Hide"),
    IF(V408 &gt;= _xlfn.XLOOKUP(F408,'Min table'!C$3:C$5,),"Show","Hide")
)</f>
        <v>Show</v>
      </c>
      <c r="X408" s="317" t="s">
        <v>617</v>
      </c>
      <c r="Y408" s="317" t="s">
        <v>1781</v>
      </c>
    </row>
    <row r="409" spans="3:25" ht="18.75" x14ac:dyDescent="0.3">
      <c r="C409" s="322"/>
      <c r="D409" s="9"/>
      <c r="E409" s="9"/>
      <c r="F409" s="21" t="s">
        <v>62</v>
      </c>
      <c r="G409" s="20" t="s">
        <v>945</v>
      </c>
      <c r="H409" s="376" t="s">
        <v>404</v>
      </c>
      <c r="I409" s="376"/>
      <c r="J409" s="376" t="s">
        <v>619</v>
      </c>
      <c r="K409" s="376"/>
      <c r="L409" s="1"/>
      <c r="M409" s="2"/>
      <c r="N409" s="19">
        <v>13</v>
      </c>
      <c r="O409" s="22" t="str">
        <f t="shared" si="13"/>
        <v/>
      </c>
      <c r="P409" s="21" t="s">
        <v>620</v>
      </c>
      <c r="Q409" s="375" t="s">
        <v>566</v>
      </c>
      <c r="R409" s="375"/>
      <c r="S409" s="375"/>
      <c r="T409" s="93"/>
      <c r="U409" s="11"/>
      <c r="V409" s="320">
        <v>19</v>
      </c>
      <c r="W409" s="372" t="str">
        <f>IF(OR(G409="Collectors",G409="Special Pricing",G409="Boutique",G409="leafjoy littles™",G409="Premium"),
    IF(V409&gt;0,"Show","Hide"),
    IF(V409 &gt;= _xlfn.XLOOKUP(F409,'Min table'!C$3:C$5,),"Show","Hide")
)</f>
        <v>Show</v>
      </c>
      <c r="X409" s="317" t="s">
        <v>404</v>
      </c>
      <c r="Y409" s="317" t="s">
        <v>1782</v>
      </c>
    </row>
    <row r="410" spans="3:25" ht="18.75" x14ac:dyDescent="0.3">
      <c r="C410" s="322"/>
      <c r="D410" s="9"/>
      <c r="E410" s="9"/>
      <c r="F410" s="21" t="s">
        <v>62</v>
      </c>
      <c r="G410" s="20" t="s">
        <v>945</v>
      </c>
      <c r="H410" s="376" t="s">
        <v>409</v>
      </c>
      <c r="I410" s="376"/>
      <c r="J410" s="376" t="s">
        <v>621</v>
      </c>
      <c r="K410" s="376"/>
      <c r="L410" s="1"/>
      <c r="M410" s="2"/>
      <c r="N410" s="19">
        <v>13</v>
      </c>
      <c r="O410" s="22" t="str">
        <f t="shared" si="13"/>
        <v/>
      </c>
      <c r="P410" s="21" t="s">
        <v>620</v>
      </c>
      <c r="Q410" s="375" t="s">
        <v>566</v>
      </c>
      <c r="R410" s="375"/>
      <c r="S410" s="375"/>
      <c r="T410" s="93"/>
      <c r="U410" s="11"/>
      <c r="V410" s="320">
        <v>28</v>
      </c>
      <c r="W410" s="372" t="str">
        <f>IF(OR(G410="Collectors",G410="Special Pricing",G410="Boutique",G410="leafjoy littles™",G410="Premium"),
    IF(V410&gt;0,"Show","Hide"),
    IF(V410 &gt;= _xlfn.XLOOKUP(F410,'Min table'!C$3:C$5,),"Show","Hide")
)</f>
        <v>Show</v>
      </c>
      <c r="X410" s="317" t="s">
        <v>409</v>
      </c>
      <c r="Y410" s="342" t="s">
        <v>1783</v>
      </c>
    </row>
    <row r="411" spans="3:25" ht="18.75" hidden="1" x14ac:dyDescent="0.3">
      <c r="C411" s="322"/>
      <c r="D411" s="9"/>
      <c r="E411" s="9"/>
      <c r="F411" s="21" t="s">
        <v>62</v>
      </c>
      <c r="G411" s="20" t="s">
        <v>945</v>
      </c>
      <c r="H411" s="377" t="s">
        <v>622</v>
      </c>
      <c r="I411" s="377"/>
      <c r="J411" s="377" t="s">
        <v>623</v>
      </c>
      <c r="K411" s="377"/>
      <c r="L411" s="1"/>
      <c r="M411" s="2"/>
      <c r="N411" s="19">
        <v>13</v>
      </c>
      <c r="O411" s="22" t="str">
        <f t="shared" si="13"/>
        <v/>
      </c>
      <c r="P411" s="21" t="s">
        <v>624</v>
      </c>
      <c r="Q411" s="375" t="s">
        <v>566</v>
      </c>
      <c r="R411" s="375"/>
      <c r="S411" s="375"/>
      <c r="T411" s="93"/>
      <c r="U411" s="11"/>
      <c r="V411" s="320">
        <v>0</v>
      </c>
      <c r="W411" s="372" t="str">
        <f>IF(OR(G411="Collectors",G411="Special Pricing",G411="Boutique",G411="leafjoy littles™",G411="Premium"),
    IF(V411&gt;0,"Show","Hide"),
    IF(V411 &gt;= _xlfn.XLOOKUP(F411,'Min table'!C$3:C$5,),"Show","Hide")
)</f>
        <v>Hide</v>
      </c>
      <c r="X411" s="317" t="s">
        <v>622</v>
      </c>
      <c r="Y411" s="342" t="s">
        <v>1784</v>
      </c>
    </row>
    <row r="412" spans="3:25" ht="18.75" x14ac:dyDescent="0.3">
      <c r="C412" s="322"/>
      <c r="D412" s="9"/>
      <c r="E412" s="9"/>
      <c r="F412" s="21" t="s">
        <v>62</v>
      </c>
      <c r="G412" s="20" t="s">
        <v>945</v>
      </c>
      <c r="H412" s="376" t="s">
        <v>625</v>
      </c>
      <c r="I412" s="376"/>
      <c r="J412" s="376" t="s">
        <v>626</v>
      </c>
      <c r="K412" s="376"/>
      <c r="L412" s="1"/>
      <c r="M412" s="2"/>
      <c r="N412" s="19">
        <v>13</v>
      </c>
      <c r="O412" s="22" t="str">
        <f t="shared" si="13"/>
        <v/>
      </c>
      <c r="P412" s="21" t="s">
        <v>565</v>
      </c>
      <c r="Q412" s="375" t="s">
        <v>566</v>
      </c>
      <c r="R412" s="375"/>
      <c r="S412" s="375"/>
      <c r="T412" s="93"/>
      <c r="U412" s="11"/>
      <c r="V412" s="320">
        <v>42</v>
      </c>
      <c r="W412" s="372" t="str">
        <f>IF(OR(G412="Collectors",G412="Special Pricing",G412="Boutique",G412="leafjoy littles™",G412="Premium"),
    IF(V412&gt;0,"Show","Hide"),
    IF(V412 &gt;= _xlfn.XLOOKUP(F412,'Min table'!C$3:C$5,),"Show","Hide")
)</f>
        <v>Show</v>
      </c>
      <c r="X412" s="317" t="s">
        <v>625</v>
      </c>
      <c r="Y412" s="342" t="s">
        <v>1785</v>
      </c>
    </row>
    <row r="413" spans="3:25" ht="18.75" x14ac:dyDescent="0.3">
      <c r="C413" s="322"/>
      <c r="D413" s="9"/>
      <c r="E413" s="9"/>
      <c r="F413" s="21" t="s">
        <v>62</v>
      </c>
      <c r="G413" s="20" t="s">
        <v>945</v>
      </c>
      <c r="H413" s="376" t="s">
        <v>627</v>
      </c>
      <c r="I413" s="376"/>
      <c r="J413" s="376" t="s">
        <v>628</v>
      </c>
      <c r="K413" s="376"/>
      <c r="L413" s="1"/>
      <c r="M413" s="2"/>
      <c r="N413" s="19">
        <v>13</v>
      </c>
      <c r="O413" s="22" t="str">
        <f t="shared" si="13"/>
        <v/>
      </c>
      <c r="P413" s="21" t="s">
        <v>629</v>
      </c>
      <c r="Q413" s="375" t="s">
        <v>566</v>
      </c>
      <c r="R413" s="375"/>
      <c r="S413" s="375"/>
      <c r="T413" s="93"/>
      <c r="U413" s="11"/>
      <c r="V413" s="320">
        <v>15</v>
      </c>
      <c r="W413" s="372" t="str">
        <f>IF(OR(G413="Collectors",G413="Special Pricing",G413="Boutique",G413="leafjoy littles™",G413="Premium"),
    IF(V413&gt;0,"Show","Hide"),
    IF(V413 &gt;= _xlfn.XLOOKUP(F413,'Min table'!C$3:C$5,),"Show","Hide")
)</f>
        <v>Show</v>
      </c>
      <c r="X413" s="317" t="s">
        <v>627</v>
      </c>
      <c r="Y413" s="342" t="s">
        <v>1786</v>
      </c>
    </row>
    <row r="414" spans="3:25" ht="18.75" x14ac:dyDescent="0.3">
      <c r="C414" s="322"/>
      <c r="D414" s="9"/>
      <c r="E414" s="9"/>
      <c r="F414" s="21" t="s">
        <v>62</v>
      </c>
      <c r="G414" s="20" t="s">
        <v>945</v>
      </c>
      <c r="H414" s="376" t="s">
        <v>2798</v>
      </c>
      <c r="I414" s="376"/>
      <c r="J414" s="376" t="s">
        <v>631</v>
      </c>
      <c r="K414" s="376"/>
      <c r="L414" s="1"/>
      <c r="M414" s="2"/>
      <c r="N414" s="19">
        <v>13</v>
      </c>
      <c r="O414" s="22" t="str">
        <f t="shared" si="13"/>
        <v/>
      </c>
      <c r="P414" s="21" t="s">
        <v>565</v>
      </c>
      <c r="Q414" s="375" t="s">
        <v>566</v>
      </c>
      <c r="R414" s="375"/>
      <c r="S414" s="375"/>
      <c r="T414" s="93"/>
      <c r="U414" s="11"/>
      <c r="V414" s="320">
        <v>18</v>
      </c>
      <c r="W414" s="372" t="str">
        <f>IF(OR(G414="Collectors",G414="Special Pricing",G414="Boutique",G414="leafjoy littles™",G414="Premium"),
    IF(V414&gt;0,"Show","Hide"),
    IF(V414 &gt;= _xlfn.XLOOKUP(F414,'Min table'!C$3:C$5,),"Show","Hide")
)</f>
        <v>Show</v>
      </c>
      <c r="X414" s="317" t="s">
        <v>630</v>
      </c>
      <c r="Y414" s="342" t="s">
        <v>1787</v>
      </c>
    </row>
    <row r="415" spans="3:25" ht="18.75" hidden="1" x14ac:dyDescent="0.3">
      <c r="C415" s="322"/>
      <c r="D415" s="9"/>
      <c r="E415" s="9"/>
      <c r="F415" s="21" t="s">
        <v>62</v>
      </c>
      <c r="G415" s="20" t="s">
        <v>945</v>
      </c>
      <c r="H415" s="377" t="s">
        <v>419</v>
      </c>
      <c r="I415" s="377"/>
      <c r="J415" s="377" t="s">
        <v>632</v>
      </c>
      <c r="K415" s="377"/>
      <c r="L415" s="1"/>
      <c r="M415" s="2"/>
      <c r="N415" s="19">
        <v>13</v>
      </c>
      <c r="O415" s="22" t="str">
        <f t="shared" si="13"/>
        <v/>
      </c>
      <c r="P415" s="21" t="s">
        <v>633</v>
      </c>
      <c r="Q415" s="375" t="s">
        <v>566</v>
      </c>
      <c r="R415" s="375"/>
      <c r="S415" s="375"/>
      <c r="T415" s="93"/>
      <c r="U415" s="11"/>
      <c r="V415" s="320">
        <v>0</v>
      </c>
      <c r="W415" s="372" t="str">
        <f>IF(OR(G415="Collectors",G415="Special Pricing",G415="Boutique",G415="leafjoy littles™",G415="Premium"),
    IF(V415&gt;0,"Show","Hide"),
    IF(V415 &gt;= _xlfn.XLOOKUP(F415,'Min table'!C$3:C$5,),"Show","Hide")
)</f>
        <v>Hide</v>
      </c>
      <c r="X415" s="342" t="s">
        <v>419</v>
      </c>
      <c r="Y415" s="342" t="s">
        <v>1788</v>
      </c>
    </row>
    <row r="416" spans="3:25" ht="18.75" hidden="1" x14ac:dyDescent="0.3">
      <c r="C416" s="322"/>
      <c r="D416" s="9"/>
      <c r="E416" s="9"/>
      <c r="F416" s="21" t="s">
        <v>62</v>
      </c>
      <c r="G416" s="20" t="s">
        <v>945</v>
      </c>
      <c r="H416" s="377" t="s">
        <v>634</v>
      </c>
      <c r="I416" s="377"/>
      <c r="J416" s="377" t="s">
        <v>635</v>
      </c>
      <c r="K416" s="377"/>
      <c r="L416" s="1"/>
      <c r="M416" s="2"/>
      <c r="N416" s="19">
        <v>13</v>
      </c>
      <c r="O416" s="22" t="str">
        <f t="shared" si="13"/>
        <v/>
      </c>
      <c r="P416" s="21" t="s">
        <v>629</v>
      </c>
      <c r="Q416" s="375" t="s">
        <v>566</v>
      </c>
      <c r="R416" s="375"/>
      <c r="S416" s="375"/>
      <c r="T416" s="93"/>
      <c r="U416" s="11"/>
      <c r="V416" s="320">
        <v>3</v>
      </c>
      <c r="W416" s="372" t="str">
        <f>IF(OR(G416="Collectors",G416="Special Pricing",G416="Boutique",G416="leafjoy littles™",G416="Premium"),
    IF(V416&gt;0,"Show","Hide"),
    IF(V416 &gt;= _xlfn.XLOOKUP(F416,'Min table'!C$3:C$5,),"Show","Hide")
)</f>
        <v>Show</v>
      </c>
      <c r="X416" s="317" t="s">
        <v>634</v>
      </c>
      <c r="Y416" s="342" t="s">
        <v>1789</v>
      </c>
    </row>
    <row r="417" spans="3:25" ht="18.75" x14ac:dyDescent="0.3">
      <c r="C417" s="322"/>
      <c r="D417" s="9"/>
      <c r="E417" s="9"/>
      <c r="F417" s="21" t="s">
        <v>62</v>
      </c>
      <c r="G417" s="20" t="s">
        <v>945</v>
      </c>
      <c r="H417" s="376" t="s">
        <v>422</v>
      </c>
      <c r="I417" s="376"/>
      <c r="J417" s="376" t="s">
        <v>636</v>
      </c>
      <c r="K417" s="376"/>
      <c r="L417" s="1"/>
      <c r="M417" s="2"/>
      <c r="N417" s="19">
        <v>13</v>
      </c>
      <c r="O417" s="22" t="str">
        <f t="shared" si="13"/>
        <v/>
      </c>
      <c r="P417" s="21" t="s">
        <v>637</v>
      </c>
      <c r="Q417" s="375" t="s">
        <v>566</v>
      </c>
      <c r="R417" s="375"/>
      <c r="S417" s="375"/>
      <c r="T417" s="106"/>
      <c r="U417" s="11"/>
      <c r="V417" s="320">
        <v>30</v>
      </c>
      <c r="W417" s="372" t="str">
        <f>IF(OR(G417="Collectors",G417="Special Pricing",G417="Boutique",G417="leafjoy littles™",G417="Premium"),
    IF(V417&gt;0,"Show","Hide"),
    IF(V417 &gt;= _xlfn.XLOOKUP(F417,'Min table'!C$3:C$5,),"Show","Hide")
)</f>
        <v>Show</v>
      </c>
      <c r="X417" s="317" t="s">
        <v>422</v>
      </c>
      <c r="Y417" s="342" t="s">
        <v>1790</v>
      </c>
    </row>
    <row r="418" spans="3:25" ht="18.75" hidden="1" x14ac:dyDescent="0.3">
      <c r="C418" s="322"/>
      <c r="D418" s="9"/>
      <c r="E418" s="9"/>
      <c r="F418" s="21" t="s">
        <v>62</v>
      </c>
      <c r="G418" s="20" t="s">
        <v>945</v>
      </c>
      <c r="H418" s="377" t="s">
        <v>424</v>
      </c>
      <c r="I418" s="377"/>
      <c r="J418" s="377" t="s">
        <v>638</v>
      </c>
      <c r="K418" s="377"/>
      <c r="L418" s="1"/>
      <c r="M418" s="2"/>
      <c r="N418" s="19">
        <v>13</v>
      </c>
      <c r="O418" s="22" t="str">
        <f t="shared" si="13"/>
        <v/>
      </c>
      <c r="P418" s="21" t="s">
        <v>637</v>
      </c>
      <c r="Q418" s="375" t="s">
        <v>566</v>
      </c>
      <c r="R418" s="375"/>
      <c r="S418" s="375"/>
      <c r="T418" s="93"/>
      <c r="U418" s="11"/>
      <c r="V418" s="320">
        <v>3</v>
      </c>
      <c r="W418" s="372" t="str">
        <f>IF(OR(G418="Collectors",G418="Special Pricing",G418="Boutique",G418="leafjoy littles™",G418="Premium"),
    IF(V418&gt;0,"Show","Hide"),
    IF(V418 &gt;= _xlfn.XLOOKUP(F418,'Min table'!C$3:C$5,),"Show","Hide")
)</f>
        <v>Show</v>
      </c>
      <c r="X418" s="317" t="s">
        <v>424</v>
      </c>
      <c r="Y418" s="342" t="s">
        <v>1791</v>
      </c>
    </row>
    <row r="419" spans="3:25" ht="18.75" x14ac:dyDescent="0.3">
      <c r="C419" s="322"/>
      <c r="D419" s="9"/>
      <c r="E419" s="9"/>
      <c r="F419" s="21" t="s">
        <v>62</v>
      </c>
      <c r="G419" s="20" t="s">
        <v>945</v>
      </c>
      <c r="H419" s="376" t="s">
        <v>426</v>
      </c>
      <c r="I419" s="376"/>
      <c r="J419" s="376" t="s">
        <v>639</v>
      </c>
      <c r="K419" s="376"/>
      <c r="L419" s="1"/>
      <c r="M419" s="2"/>
      <c r="N419" s="19">
        <v>13</v>
      </c>
      <c r="O419" s="22" t="str">
        <f t="shared" si="13"/>
        <v/>
      </c>
      <c r="P419" s="21" t="s">
        <v>637</v>
      </c>
      <c r="Q419" s="375" t="s">
        <v>566</v>
      </c>
      <c r="R419" s="375"/>
      <c r="S419" s="375"/>
      <c r="T419" s="93"/>
      <c r="U419" s="11"/>
      <c r="V419" s="320">
        <v>38</v>
      </c>
      <c r="W419" s="372" t="str">
        <f>IF(OR(G419="Collectors",G419="Special Pricing",G419="Boutique",G419="leafjoy littles™",G419="Premium"),
    IF(V419&gt;0,"Show","Hide"),
    IF(V419 &gt;= _xlfn.XLOOKUP(F419,'Min table'!C$3:C$5,),"Show","Hide")
)</f>
        <v>Show</v>
      </c>
      <c r="X419" s="317" t="s">
        <v>426</v>
      </c>
      <c r="Y419" s="342" t="s">
        <v>1792</v>
      </c>
    </row>
    <row r="420" spans="3:25" ht="18.75" hidden="1" x14ac:dyDescent="0.3">
      <c r="C420" s="322"/>
      <c r="D420" s="9"/>
      <c r="E420" s="9"/>
      <c r="F420" s="21" t="s">
        <v>62</v>
      </c>
      <c r="G420" s="20" t="s">
        <v>945</v>
      </c>
      <c r="H420" s="377" t="s">
        <v>428</v>
      </c>
      <c r="I420" s="377"/>
      <c r="J420" s="377" t="s">
        <v>640</v>
      </c>
      <c r="K420" s="377"/>
      <c r="L420" s="1"/>
      <c r="M420" s="2"/>
      <c r="N420" s="19">
        <v>13</v>
      </c>
      <c r="O420" s="22" t="str">
        <f t="shared" si="13"/>
        <v/>
      </c>
      <c r="P420" s="21" t="s">
        <v>641</v>
      </c>
      <c r="Q420" s="375" t="s">
        <v>566</v>
      </c>
      <c r="R420" s="375"/>
      <c r="S420" s="375"/>
      <c r="T420" s="93"/>
      <c r="U420" s="11"/>
      <c r="V420" s="320">
        <v>0</v>
      </c>
      <c r="W420" s="372" t="str">
        <f>IF(OR(G420="Collectors",G420="Special Pricing",G420="Boutique",G420="leafjoy littles™",G420="Premium"),
    IF(V420&gt;0,"Show","Hide"),
    IF(V420 &gt;= _xlfn.XLOOKUP(F420,'Min table'!C$3:C$5,),"Show","Hide")
)</f>
        <v>Hide</v>
      </c>
      <c r="X420" s="342" t="s">
        <v>428</v>
      </c>
      <c r="Y420" s="342" t="s">
        <v>1793</v>
      </c>
    </row>
    <row r="421" spans="3:25" ht="18.75" x14ac:dyDescent="0.3">
      <c r="C421" s="322"/>
      <c r="D421" s="9"/>
      <c r="E421" s="9"/>
      <c r="F421" s="21" t="s">
        <v>62</v>
      </c>
      <c r="G421" s="20" t="s">
        <v>945</v>
      </c>
      <c r="H421" s="376" t="s">
        <v>430</v>
      </c>
      <c r="I421" s="376"/>
      <c r="J421" s="376" t="s">
        <v>642</v>
      </c>
      <c r="K421" s="376"/>
      <c r="L421" s="1"/>
      <c r="M421" s="2"/>
      <c r="N421" s="19">
        <v>13</v>
      </c>
      <c r="O421" s="22" t="str">
        <f t="shared" si="13"/>
        <v/>
      </c>
      <c r="P421" s="21" t="s">
        <v>641</v>
      </c>
      <c r="Q421" s="375" t="s">
        <v>566</v>
      </c>
      <c r="R421" s="375"/>
      <c r="S421" s="375"/>
      <c r="T421" s="93"/>
      <c r="U421" s="11"/>
      <c r="V421" s="320">
        <v>35</v>
      </c>
      <c r="W421" s="372" t="str">
        <f>IF(OR(G421="Collectors",G421="Special Pricing",G421="Boutique",G421="leafjoy littles™",G421="Premium"),
    IF(V421&gt;0,"Show","Hide"),
    IF(V421 &gt;= _xlfn.XLOOKUP(F421,'Min table'!C$3:C$5,),"Show","Hide")
)</f>
        <v>Show</v>
      </c>
      <c r="X421" s="317" t="s">
        <v>430</v>
      </c>
      <c r="Y421" s="342" t="s">
        <v>1794</v>
      </c>
    </row>
    <row r="422" spans="3:25" ht="18.75" hidden="1" x14ac:dyDescent="0.3">
      <c r="C422" s="322"/>
      <c r="D422" s="9"/>
      <c r="E422" s="9"/>
      <c r="F422" s="21" t="s">
        <v>62</v>
      </c>
      <c r="G422" s="20" t="s">
        <v>945</v>
      </c>
      <c r="H422" s="377" t="s">
        <v>643</v>
      </c>
      <c r="I422" s="377"/>
      <c r="J422" s="377" t="s">
        <v>644</v>
      </c>
      <c r="K422" s="377"/>
      <c r="L422" s="1"/>
      <c r="M422" s="2"/>
      <c r="N422" s="19">
        <v>13</v>
      </c>
      <c r="O422" s="22" t="str">
        <f t="shared" si="13"/>
        <v/>
      </c>
      <c r="P422" s="21" t="s">
        <v>641</v>
      </c>
      <c r="Q422" s="375" t="s">
        <v>566</v>
      </c>
      <c r="R422" s="375"/>
      <c r="S422" s="375"/>
      <c r="T422" s="93"/>
      <c r="U422" s="11"/>
      <c r="V422" s="320">
        <v>0</v>
      </c>
      <c r="W422" s="372" t="str">
        <f>IF(OR(G422="Collectors",G422="Special Pricing",G422="Boutique",G422="leafjoy littles™",G422="Premium"),
    IF(V422&gt;0,"Show","Hide"),
    IF(V422 &gt;= _xlfn.XLOOKUP(F422,'Min table'!C$3:C$5,),"Show","Hide")
)</f>
        <v>Hide</v>
      </c>
      <c r="X422" s="317" t="s">
        <v>643</v>
      </c>
      <c r="Y422" s="345" t="s">
        <v>1795</v>
      </c>
    </row>
    <row r="423" spans="3:25" ht="18.75" hidden="1" x14ac:dyDescent="0.3">
      <c r="C423" s="322"/>
      <c r="D423" s="9"/>
      <c r="E423" s="9"/>
      <c r="F423" s="21" t="s">
        <v>62</v>
      </c>
      <c r="G423" s="20" t="s">
        <v>945</v>
      </c>
      <c r="H423" s="377" t="s">
        <v>434</v>
      </c>
      <c r="I423" s="377"/>
      <c r="J423" s="377" t="s">
        <v>645</v>
      </c>
      <c r="K423" s="377"/>
      <c r="L423" s="1"/>
      <c r="M423" s="2"/>
      <c r="N423" s="19">
        <v>13</v>
      </c>
      <c r="O423" s="22" t="str">
        <f t="shared" si="13"/>
        <v/>
      </c>
      <c r="P423" s="21" t="s">
        <v>641</v>
      </c>
      <c r="Q423" s="375" t="s">
        <v>566</v>
      </c>
      <c r="R423" s="375"/>
      <c r="S423" s="375"/>
      <c r="T423" s="93"/>
      <c r="U423" s="11"/>
      <c r="V423" s="320">
        <v>8</v>
      </c>
      <c r="W423" s="372" t="str">
        <f>IF(OR(G423="Collectors",G423="Special Pricing",G423="Boutique",G423="leafjoy littles™",G423="Premium"),
    IF(V423&gt;0,"Show","Hide"),
    IF(V423 &gt;= _xlfn.XLOOKUP(F423,'Min table'!C$3:C$5,),"Show","Hide")
)</f>
        <v>Show</v>
      </c>
      <c r="X423" s="317" t="s">
        <v>434</v>
      </c>
      <c r="Y423" s="345" t="s">
        <v>1796</v>
      </c>
    </row>
    <row r="424" spans="3:25" ht="18.75" hidden="1" x14ac:dyDescent="0.3">
      <c r="C424" s="322"/>
      <c r="D424" s="9"/>
      <c r="E424" s="9"/>
      <c r="F424" s="21" t="s">
        <v>62</v>
      </c>
      <c r="G424" s="20" t="s">
        <v>945</v>
      </c>
      <c r="H424" s="377" t="s">
        <v>646</v>
      </c>
      <c r="I424" s="377"/>
      <c r="J424" s="377" t="s">
        <v>647</v>
      </c>
      <c r="K424" s="377"/>
      <c r="L424" s="1"/>
      <c r="M424" s="2"/>
      <c r="N424" s="19">
        <v>13</v>
      </c>
      <c r="O424" s="22" t="str">
        <f t="shared" si="13"/>
        <v/>
      </c>
      <c r="P424" s="21" t="s">
        <v>612</v>
      </c>
      <c r="Q424" s="375" t="s">
        <v>566</v>
      </c>
      <c r="R424" s="375"/>
      <c r="S424" s="375"/>
      <c r="T424" s="93"/>
      <c r="U424" s="11"/>
      <c r="V424" s="320">
        <v>0</v>
      </c>
      <c r="W424" s="372" t="str">
        <f>IF(OR(G424="Collectors",G424="Special Pricing",G424="Boutique",G424="leafjoy littles™",G424="Premium"),
    IF(V424&gt;0,"Show","Hide"),
    IF(V424 &gt;= _xlfn.XLOOKUP(F424,'Min table'!C$3:C$5,),"Show","Hide")
)</f>
        <v>Hide</v>
      </c>
      <c r="X424" s="317" t="s">
        <v>646</v>
      </c>
      <c r="Y424" s="345" t="s">
        <v>1797</v>
      </c>
    </row>
    <row r="425" spans="3:25" ht="18.75" hidden="1" x14ac:dyDescent="0.3">
      <c r="C425" s="322"/>
      <c r="D425" s="9"/>
      <c r="E425" s="9"/>
      <c r="F425" s="21" t="s">
        <v>62</v>
      </c>
      <c r="G425" s="20" t="s">
        <v>945</v>
      </c>
      <c r="H425" s="377" t="s">
        <v>439</v>
      </c>
      <c r="I425" s="377"/>
      <c r="J425" s="377" t="s">
        <v>648</v>
      </c>
      <c r="K425" s="377"/>
      <c r="L425" s="1"/>
      <c r="M425" s="2"/>
      <c r="N425" s="19">
        <v>13</v>
      </c>
      <c r="O425" s="22" t="str">
        <f t="shared" si="13"/>
        <v/>
      </c>
      <c r="P425" s="21" t="s">
        <v>649</v>
      </c>
      <c r="Q425" s="375" t="s">
        <v>566</v>
      </c>
      <c r="R425" s="375"/>
      <c r="S425" s="375"/>
      <c r="T425" s="93"/>
      <c r="U425" s="11"/>
      <c r="V425" s="320">
        <v>0</v>
      </c>
      <c r="W425" s="372" t="str">
        <f>IF(OR(G425="Collectors",G425="Special Pricing",G425="Boutique",G425="leafjoy littles™",G425="Premium"),
    IF(V425&gt;0,"Show","Hide"),
    IF(V425 &gt;= _xlfn.XLOOKUP(F425,'Min table'!C$3:C$5,),"Show","Hide")
)</f>
        <v>Hide</v>
      </c>
      <c r="X425" s="317" t="s">
        <v>439</v>
      </c>
      <c r="Y425" s="345" t="s">
        <v>1798</v>
      </c>
    </row>
    <row r="426" spans="3:25" ht="18.75" x14ac:dyDescent="0.3">
      <c r="C426" s="322"/>
      <c r="D426" s="9"/>
      <c r="E426" s="9"/>
      <c r="F426" s="21" t="s">
        <v>62</v>
      </c>
      <c r="G426" s="20" t="s">
        <v>945</v>
      </c>
      <c r="H426" s="377" t="s">
        <v>650</v>
      </c>
      <c r="I426" s="377"/>
      <c r="J426" s="377" t="s">
        <v>651</v>
      </c>
      <c r="K426" s="377"/>
      <c r="L426" s="1"/>
      <c r="M426" s="2"/>
      <c r="N426" s="19">
        <v>13</v>
      </c>
      <c r="O426" s="22" t="str">
        <f t="shared" si="13"/>
        <v/>
      </c>
      <c r="P426" s="21" t="s">
        <v>641</v>
      </c>
      <c r="Q426" s="375" t="s">
        <v>566</v>
      </c>
      <c r="R426" s="375"/>
      <c r="S426" s="375"/>
      <c r="T426" s="93"/>
      <c r="U426" s="11"/>
      <c r="V426" s="320">
        <v>76</v>
      </c>
      <c r="W426" s="372" t="str">
        <f>IF(OR(G426="Collectors",G426="Special Pricing",G426="Boutique",G426="leafjoy littles™",G426="Premium"),
    IF(V426&gt;0,"Show","Hide"),
    IF(V426 &gt;= _xlfn.XLOOKUP(F426,'Min table'!C$3:C$5,),"Show","Hide")
)</f>
        <v>Show</v>
      </c>
      <c r="X426" s="317" t="s">
        <v>650</v>
      </c>
      <c r="Y426" s="345" t="s">
        <v>1799</v>
      </c>
    </row>
    <row r="427" spans="3:25" ht="18.75" x14ac:dyDescent="0.3">
      <c r="C427" s="322"/>
      <c r="D427" s="9"/>
      <c r="E427" s="9"/>
      <c r="F427" s="21" t="s">
        <v>62</v>
      </c>
      <c r="G427" s="20" t="s">
        <v>942</v>
      </c>
      <c r="H427" s="377" t="s">
        <v>652</v>
      </c>
      <c r="I427" s="377"/>
      <c r="J427" s="377" t="s">
        <v>653</v>
      </c>
      <c r="K427" s="377"/>
      <c r="L427" s="1"/>
      <c r="M427" s="2"/>
      <c r="N427" s="19">
        <v>17</v>
      </c>
      <c r="O427" s="22" t="str">
        <f t="shared" si="13"/>
        <v/>
      </c>
      <c r="P427" s="21" t="s">
        <v>654</v>
      </c>
      <c r="Q427" s="375" t="s">
        <v>655</v>
      </c>
      <c r="R427" s="375"/>
      <c r="S427" s="375"/>
      <c r="T427" s="106"/>
      <c r="U427" s="11"/>
      <c r="V427" s="320">
        <v>444</v>
      </c>
      <c r="W427" s="372" t="str">
        <f>IF(OR(G427="Collectors",G427="Special Pricing",G427="Boutique",G427="leafjoy littles™",G427="Premium"),
    IF(V427&gt;0,"Show","Hide"),
    IF(V427 &gt;= _xlfn.XLOOKUP(F427,'Min table'!C$3:C$5,),"Show","Hide")
)</f>
        <v>Show</v>
      </c>
      <c r="X427" s="317" t="s">
        <v>652</v>
      </c>
      <c r="Y427" s="345" t="s">
        <v>1800</v>
      </c>
    </row>
    <row r="428" spans="3:25" ht="18.75" hidden="1" x14ac:dyDescent="0.3">
      <c r="C428" s="322"/>
      <c r="D428" s="9"/>
      <c r="E428" s="9"/>
      <c r="F428" s="21" t="s">
        <v>62</v>
      </c>
      <c r="G428" s="20" t="s">
        <v>942</v>
      </c>
      <c r="H428" s="376" t="s">
        <v>478</v>
      </c>
      <c r="I428" s="376"/>
      <c r="J428" s="376" t="s">
        <v>656</v>
      </c>
      <c r="K428" s="376"/>
      <c r="L428" s="1"/>
      <c r="M428" s="2"/>
      <c r="N428" s="19">
        <v>17</v>
      </c>
      <c r="O428" s="22" t="str">
        <f t="shared" si="13"/>
        <v/>
      </c>
      <c r="P428" s="21" t="s">
        <v>657</v>
      </c>
      <c r="Q428" s="375" t="s">
        <v>655</v>
      </c>
      <c r="R428" s="375"/>
      <c r="S428" s="375"/>
      <c r="T428" s="93"/>
      <c r="U428" s="11"/>
      <c r="V428" s="320">
        <v>3</v>
      </c>
      <c r="W428" s="372" t="str">
        <f>IF(OR(G428="Collectors",G428="Special Pricing",G428="Boutique",G428="leafjoy littles™",G428="Premium"),
    IF(V428&gt;0,"Show","Hide"),
    IF(V428 &gt;= _xlfn.XLOOKUP(F428,'Min table'!C$3:C$5,),"Show","Hide")
)</f>
        <v>Show</v>
      </c>
      <c r="X428" s="317" t="s">
        <v>478</v>
      </c>
      <c r="Y428" s="345" t="s">
        <v>1801</v>
      </c>
    </row>
    <row r="429" spans="3:25" ht="18.75" hidden="1" x14ac:dyDescent="0.3">
      <c r="C429" s="322"/>
      <c r="D429" s="9"/>
      <c r="E429" s="9"/>
      <c r="F429" s="21" t="s">
        <v>62</v>
      </c>
      <c r="G429" s="20" t="s">
        <v>945</v>
      </c>
      <c r="H429" s="377" t="s">
        <v>480</v>
      </c>
      <c r="I429" s="377"/>
      <c r="J429" s="377" t="s">
        <v>658</v>
      </c>
      <c r="K429" s="377"/>
      <c r="L429" s="1"/>
      <c r="M429" s="2"/>
      <c r="N429" s="19">
        <v>13</v>
      </c>
      <c r="O429" s="22" t="str">
        <f t="shared" si="13"/>
        <v/>
      </c>
      <c r="P429" s="21" t="s">
        <v>389</v>
      </c>
      <c r="Q429" s="375" t="s">
        <v>566</v>
      </c>
      <c r="R429" s="375"/>
      <c r="S429" s="375"/>
      <c r="T429" s="93"/>
      <c r="U429" s="11"/>
      <c r="V429" s="320">
        <v>0</v>
      </c>
      <c r="W429" s="372" t="str">
        <f>IF(OR(G429="Collectors",G429="Special Pricing",G429="Boutique",G429="leafjoy littles™",G429="Premium"),
    IF(V429&gt;0,"Show","Hide"),
    IF(V429 &gt;= _xlfn.XLOOKUP(F429,'Min table'!C$3:C$5,),"Show","Hide")
)</f>
        <v>Hide</v>
      </c>
      <c r="X429" s="317" t="s">
        <v>480</v>
      </c>
      <c r="Y429" s="345" t="s">
        <v>1802</v>
      </c>
    </row>
    <row r="430" spans="3:25" ht="18.75" hidden="1" x14ac:dyDescent="0.3">
      <c r="C430" s="322"/>
      <c r="D430" s="9"/>
      <c r="E430" s="9"/>
      <c r="F430" s="21" t="s">
        <v>62</v>
      </c>
      <c r="G430" s="20" t="s">
        <v>945</v>
      </c>
      <c r="H430" s="377" t="s">
        <v>659</v>
      </c>
      <c r="I430" s="377"/>
      <c r="J430" s="377" t="s">
        <v>660</v>
      </c>
      <c r="K430" s="377"/>
      <c r="L430" s="1"/>
      <c r="M430" s="2"/>
      <c r="N430" s="19">
        <v>13</v>
      </c>
      <c r="O430" s="22" t="str">
        <f t="shared" si="13"/>
        <v/>
      </c>
      <c r="P430" s="21" t="s">
        <v>600</v>
      </c>
      <c r="Q430" s="375" t="s">
        <v>566</v>
      </c>
      <c r="R430" s="375"/>
      <c r="S430" s="375"/>
      <c r="T430" s="93"/>
      <c r="U430" s="11"/>
      <c r="V430" s="320">
        <v>5</v>
      </c>
      <c r="W430" s="372" t="str">
        <f>IF(OR(G430="Collectors",G430="Special Pricing",G430="Boutique",G430="leafjoy littles™",G430="Premium"),
    IF(V430&gt;0,"Show","Hide"),
    IF(V430 &gt;= _xlfn.XLOOKUP(F430,'Min table'!C$3:C$5,),"Show","Hide")
)</f>
        <v>Show</v>
      </c>
      <c r="X430" s="317" t="s">
        <v>659</v>
      </c>
      <c r="Y430" s="345" t="s">
        <v>1803</v>
      </c>
    </row>
    <row r="431" spans="3:25" ht="18.75" hidden="1" x14ac:dyDescent="0.3">
      <c r="C431" s="322"/>
      <c r="D431" s="9"/>
      <c r="E431" s="9"/>
      <c r="F431" s="21" t="s">
        <v>62</v>
      </c>
      <c r="G431" s="20" t="s">
        <v>945</v>
      </c>
      <c r="H431" s="377" t="s">
        <v>487</v>
      </c>
      <c r="I431" s="377"/>
      <c r="J431" s="377" t="s">
        <v>661</v>
      </c>
      <c r="K431" s="377"/>
      <c r="L431" s="1"/>
      <c r="M431" s="2"/>
      <c r="N431" s="19">
        <v>13</v>
      </c>
      <c r="O431" s="22" t="str">
        <f t="shared" si="13"/>
        <v/>
      </c>
      <c r="P431" s="21" t="s">
        <v>600</v>
      </c>
      <c r="Q431" s="375" t="s">
        <v>566</v>
      </c>
      <c r="R431" s="375"/>
      <c r="S431" s="375"/>
      <c r="T431" s="93"/>
      <c r="U431" s="11"/>
      <c r="V431" s="320">
        <v>5</v>
      </c>
      <c r="W431" s="372" t="str">
        <f>IF(OR(G431="Collectors",G431="Special Pricing",G431="Boutique",G431="leafjoy littles™",G431="Premium"),
    IF(V431&gt;0,"Show","Hide"),
    IF(V431 &gt;= _xlfn.XLOOKUP(F431,'Min table'!C$3:C$5,),"Show","Hide")
)</f>
        <v>Show</v>
      </c>
      <c r="X431" s="342" t="s">
        <v>487</v>
      </c>
      <c r="Y431" s="342" t="s">
        <v>1804</v>
      </c>
    </row>
    <row r="432" spans="3:25" ht="18.75" x14ac:dyDescent="0.3">
      <c r="C432" s="322"/>
      <c r="D432" s="9"/>
      <c r="E432" s="9"/>
      <c r="F432" s="21" t="s">
        <v>62</v>
      </c>
      <c r="G432" s="20" t="s">
        <v>945</v>
      </c>
      <c r="H432" s="376" t="s">
        <v>2797</v>
      </c>
      <c r="I432" s="376"/>
      <c r="J432" s="376" t="s">
        <v>663</v>
      </c>
      <c r="K432" s="376"/>
      <c r="L432" s="1"/>
      <c r="M432" s="2"/>
      <c r="N432" s="19">
        <v>13</v>
      </c>
      <c r="O432" s="22" t="str">
        <f t="shared" si="13"/>
        <v/>
      </c>
      <c r="P432" s="21" t="s">
        <v>600</v>
      </c>
      <c r="Q432" s="375" t="s">
        <v>566</v>
      </c>
      <c r="R432" s="375"/>
      <c r="S432" s="375"/>
      <c r="T432" s="93"/>
      <c r="U432" s="11"/>
      <c r="V432" s="320">
        <v>14</v>
      </c>
      <c r="W432" s="372" t="str">
        <f>IF(OR(G432="Collectors",G432="Special Pricing",G432="Boutique",G432="leafjoy littles™",G432="Premium"),
    IF(V432&gt;0,"Show","Hide"),
    IF(V432 &gt;= _xlfn.XLOOKUP(F432,'Min table'!C$3:C$5,),"Show","Hide")
)</f>
        <v>Show</v>
      </c>
      <c r="X432" s="317" t="s">
        <v>662</v>
      </c>
      <c r="Y432" s="342" t="s">
        <v>1805</v>
      </c>
    </row>
    <row r="433" spans="3:25" ht="18.75" hidden="1" x14ac:dyDescent="0.3">
      <c r="C433" s="322"/>
      <c r="D433" s="9"/>
      <c r="E433" s="9"/>
      <c r="F433" s="21" t="s">
        <v>62</v>
      </c>
      <c r="G433" s="20" t="s">
        <v>1853</v>
      </c>
      <c r="H433" s="377" t="s">
        <v>1740</v>
      </c>
      <c r="I433" s="377"/>
      <c r="J433" s="377"/>
      <c r="K433" s="377"/>
      <c r="L433" s="1"/>
      <c r="M433" s="2"/>
      <c r="N433" s="19">
        <v>18.149999999999999</v>
      </c>
      <c r="O433" s="22" t="str">
        <f t="shared" si="13"/>
        <v/>
      </c>
      <c r="P433" s="21" t="s">
        <v>1862</v>
      </c>
      <c r="Q433" s="375" t="s">
        <v>655</v>
      </c>
      <c r="R433" s="375"/>
      <c r="S433" s="375"/>
      <c r="T433" s="93"/>
      <c r="U433" s="11"/>
      <c r="V433" s="320">
        <v>0</v>
      </c>
      <c r="W433" s="372" t="e">
        <f>IF(OR(G433="Collectors",G433="Special Pricing",G433="Boutique",G433="leafjoy littles™",G433="Premium"),
    IF(V433&gt;0,"Show","Hide"),
    IF(V433 &gt;= _xlfn.XLOOKUP(F433,'Min table'!C$3:C$5,),"Show","Hide")
)</f>
        <v>#VALUE!</v>
      </c>
      <c r="X433" s="317" t="s">
        <v>1739</v>
      </c>
      <c r="Y433" s="342" t="s">
        <v>1739</v>
      </c>
    </row>
    <row r="434" spans="3:25" ht="18.75" hidden="1" x14ac:dyDescent="0.3">
      <c r="C434" s="322"/>
      <c r="D434" s="9"/>
      <c r="E434" s="9"/>
      <c r="F434" s="21" t="s">
        <v>62</v>
      </c>
      <c r="G434" s="20" t="s">
        <v>945</v>
      </c>
      <c r="H434" s="377" t="s">
        <v>664</v>
      </c>
      <c r="I434" s="377"/>
      <c r="J434" s="377" t="s">
        <v>665</v>
      </c>
      <c r="K434" s="377"/>
      <c r="L434" s="1"/>
      <c r="M434" s="2"/>
      <c r="N434" s="19">
        <v>13</v>
      </c>
      <c r="O434" s="22" t="str">
        <f t="shared" si="13"/>
        <v/>
      </c>
      <c r="P434" s="21" t="s">
        <v>666</v>
      </c>
      <c r="Q434" s="375" t="s">
        <v>566</v>
      </c>
      <c r="R434" s="375"/>
      <c r="S434" s="375"/>
      <c r="T434" s="93"/>
      <c r="U434" s="11"/>
      <c r="V434" s="320">
        <v>7</v>
      </c>
      <c r="W434" s="372" t="str">
        <f>IF(OR(G434="Collectors",G434="Special Pricing",G434="Boutique",G434="leafjoy littles™",G434="Premium"),
    IF(V434&gt;0,"Show","Hide"),
    IF(V434 &gt;= _xlfn.XLOOKUP(F434,'Min table'!C$3:C$5,),"Show","Hide")
)</f>
        <v>Show</v>
      </c>
      <c r="X434" s="317" t="s">
        <v>664</v>
      </c>
      <c r="Y434" s="342" t="s">
        <v>1806</v>
      </c>
    </row>
    <row r="435" spans="3:25" ht="18.75" hidden="1" x14ac:dyDescent="0.3">
      <c r="C435" s="322"/>
      <c r="D435" s="9"/>
      <c r="E435" s="9"/>
      <c r="F435" s="21" t="s">
        <v>62</v>
      </c>
      <c r="G435" s="20" t="s">
        <v>945</v>
      </c>
      <c r="H435" s="377" t="s">
        <v>667</v>
      </c>
      <c r="I435" s="377"/>
      <c r="J435" s="377" t="s">
        <v>668</v>
      </c>
      <c r="K435" s="377"/>
      <c r="L435" s="1"/>
      <c r="M435" s="2"/>
      <c r="N435" s="19">
        <v>13</v>
      </c>
      <c r="O435" s="22" t="str">
        <f t="shared" si="13"/>
        <v/>
      </c>
      <c r="P435" s="21" t="s">
        <v>666</v>
      </c>
      <c r="Q435" s="375" t="s">
        <v>566</v>
      </c>
      <c r="R435" s="375"/>
      <c r="S435" s="375"/>
      <c r="T435" s="93"/>
      <c r="U435" s="11"/>
      <c r="V435" s="320">
        <v>0</v>
      </c>
      <c r="W435" s="372" t="str">
        <f>IF(OR(G435="Collectors",G435="Special Pricing",G435="Boutique",G435="leafjoy littles™",G435="Premium"),
    IF(V435&gt;0,"Show","Hide"),
    IF(V435 &gt;= _xlfn.XLOOKUP(F435,'Min table'!C$3:C$5,),"Show","Hide")
)</f>
        <v>Hide</v>
      </c>
      <c r="X435" s="317" t="s">
        <v>667</v>
      </c>
      <c r="Y435" s="342" t="s">
        <v>1807</v>
      </c>
    </row>
    <row r="436" spans="3:25" ht="18.75" hidden="1" x14ac:dyDescent="0.3">
      <c r="C436" s="322"/>
      <c r="D436" s="9"/>
      <c r="E436" s="9"/>
      <c r="F436" s="21" t="s">
        <v>62</v>
      </c>
      <c r="G436" s="20" t="s">
        <v>945</v>
      </c>
      <c r="H436" s="377" t="s">
        <v>1855</v>
      </c>
      <c r="I436" s="377"/>
      <c r="J436" s="377" t="s">
        <v>670</v>
      </c>
      <c r="K436" s="377"/>
      <c r="L436" s="1"/>
      <c r="M436" s="2"/>
      <c r="N436" s="19">
        <v>20</v>
      </c>
      <c r="O436" s="22" t="str">
        <f t="shared" si="13"/>
        <v/>
      </c>
      <c r="P436" s="21" t="s">
        <v>245</v>
      </c>
      <c r="Q436" s="375" t="s">
        <v>655</v>
      </c>
      <c r="R436" s="375"/>
      <c r="S436" s="375"/>
      <c r="T436" s="93"/>
      <c r="U436" s="11"/>
      <c r="V436" s="320">
        <v>0</v>
      </c>
      <c r="W436" s="372" t="str">
        <f>IF(OR(G436="Collectors",G436="Special Pricing",G436="Boutique",G436="leafjoy littles™",G436="Premium"),
    IF(V436&gt;0,"Show","Hide"),
    IF(V436 &gt;= _xlfn.XLOOKUP(F436,'Min table'!C$3:C$5,),"Show","Hide")
)</f>
        <v>Hide</v>
      </c>
      <c r="X436" s="317" t="s">
        <v>669</v>
      </c>
      <c r="Y436" s="342" t="s">
        <v>1808</v>
      </c>
    </row>
    <row r="437" spans="3:25" ht="18.75" hidden="1" x14ac:dyDescent="0.3">
      <c r="C437" s="322"/>
      <c r="D437" s="9"/>
      <c r="E437" s="9"/>
      <c r="F437" s="21" t="s">
        <v>62</v>
      </c>
      <c r="G437" s="20" t="s">
        <v>945</v>
      </c>
      <c r="H437" s="377" t="s">
        <v>671</v>
      </c>
      <c r="I437" s="377"/>
      <c r="J437" s="377" t="s">
        <v>672</v>
      </c>
      <c r="K437" s="377"/>
      <c r="L437" s="1"/>
      <c r="M437" s="2"/>
      <c r="N437" s="19">
        <v>13</v>
      </c>
      <c r="O437" s="22" t="str">
        <f t="shared" si="13"/>
        <v/>
      </c>
      <c r="P437" s="21" t="s">
        <v>673</v>
      </c>
      <c r="Q437" s="375" t="s">
        <v>566</v>
      </c>
      <c r="R437" s="375"/>
      <c r="S437" s="375"/>
      <c r="T437" s="93"/>
      <c r="U437" s="11"/>
      <c r="V437" s="320">
        <v>6</v>
      </c>
      <c r="W437" s="372" t="str">
        <f>IF(OR(G437="Collectors",G437="Special Pricing",G437="Boutique",G437="leafjoy littles™",G437="Premium"),
    IF(V437&gt;0,"Show","Hide"),
    IF(V437 &gt;= _xlfn.XLOOKUP(F437,'Min table'!C$3:C$5,),"Show","Hide")
)</f>
        <v>Show</v>
      </c>
      <c r="X437" s="317" t="s">
        <v>671</v>
      </c>
      <c r="Y437" s="317" t="s">
        <v>1809</v>
      </c>
    </row>
    <row r="438" spans="3:25" ht="18.75" hidden="1" x14ac:dyDescent="0.3">
      <c r="C438" s="322"/>
      <c r="D438" s="9"/>
      <c r="E438" s="9"/>
      <c r="F438" s="21" t="s">
        <v>62</v>
      </c>
      <c r="G438" s="20" t="s">
        <v>945</v>
      </c>
      <c r="H438" s="377" t="s">
        <v>495</v>
      </c>
      <c r="I438" s="377"/>
      <c r="J438" s="377" t="s">
        <v>661</v>
      </c>
      <c r="K438" s="377"/>
      <c r="L438" s="1"/>
      <c r="M438" s="2"/>
      <c r="N438" s="19">
        <v>13</v>
      </c>
      <c r="O438" s="22" t="str">
        <f t="shared" si="13"/>
        <v/>
      </c>
      <c r="P438" s="21" t="s">
        <v>600</v>
      </c>
      <c r="Q438" s="375" t="s">
        <v>566</v>
      </c>
      <c r="R438" s="375"/>
      <c r="S438" s="375"/>
      <c r="T438" s="93"/>
      <c r="U438" s="11"/>
      <c r="V438" s="320">
        <v>8</v>
      </c>
      <c r="W438" s="372" t="str">
        <f>IF(OR(G438="Collectors",G438="Special Pricing",G438="Boutique",G438="leafjoy littles™",G438="Premium"),
    IF(V438&gt;0,"Show","Hide"),
    IF(V438 &gt;= _xlfn.XLOOKUP(F438,'Min table'!C$3:C$5,),"Show","Hide")
)</f>
        <v>Show</v>
      </c>
      <c r="X438" s="342" t="s">
        <v>495</v>
      </c>
      <c r="Y438" s="317" t="s">
        <v>1810</v>
      </c>
    </row>
    <row r="439" spans="3:25" ht="18.75" hidden="1" x14ac:dyDescent="0.3">
      <c r="C439" s="322"/>
      <c r="D439" s="9"/>
      <c r="E439" s="9"/>
      <c r="F439" s="21" t="s">
        <v>62</v>
      </c>
      <c r="G439" s="20" t="s">
        <v>945</v>
      </c>
      <c r="H439" s="377" t="s">
        <v>674</v>
      </c>
      <c r="I439" s="377"/>
      <c r="J439" s="377" t="s">
        <v>675</v>
      </c>
      <c r="K439" s="377"/>
      <c r="L439" s="1"/>
      <c r="M439" s="2"/>
      <c r="N439" s="19">
        <v>13</v>
      </c>
      <c r="O439" s="22" t="str">
        <f t="shared" si="13"/>
        <v/>
      </c>
      <c r="P439" s="21" t="s">
        <v>602</v>
      </c>
      <c r="Q439" s="375" t="s">
        <v>566</v>
      </c>
      <c r="R439" s="375"/>
      <c r="S439" s="375"/>
      <c r="T439" s="93"/>
      <c r="U439" s="11"/>
      <c r="V439" s="320">
        <v>0</v>
      </c>
      <c r="W439" s="372" t="str">
        <f>IF(OR(G439="Collectors",G439="Special Pricing",G439="Boutique",G439="leafjoy littles™",G439="Premium"),
    IF(V439&gt;0,"Show","Hide"),
    IF(V439 &gt;= _xlfn.XLOOKUP(F439,'Min table'!C$3:C$5,),"Show","Hide")
)</f>
        <v>Hide</v>
      </c>
      <c r="X439" s="317" t="s">
        <v>674</v>
      </c>
      <c r="Y439" s="317" t="s">
        <v>1811</v>
      </c>
    </row>
    <row r="440" spans="3:25" ht="18.75" hidden="1" x14ac:dyDescent="0.3">
      <c r="C440" s="322"/>
      <c r="D440" s="9"/>
      <c r="E440" s="9"/>
      <c r="F440" s="21" t="s">
        <v>62</v>
      </c>
      <c r="G440" s="20" t="s">
        <v>945</v>
      </c>
      <c r="H440" s="377" t="s">
        <v>511</v>
      </c>
      <c r="I440" s="377"/>
      <c r="J440" s="377" t="s">
        <v>676</v>
      </c>
      <c r="K440" s="377"/>
      <c r="L440" s="1"/>
      <c r="M440" s="2"/>
      <c r="N440" s="19">
        <v>13</v>
      </c>
      <c r="O440" s="22" t="str">
        <f t="shared" si="13"/>
        <v/>
      </c>
      <c r="P440" s="21" t="s">
        <v>600</v>
      </c>
      <c r="Q440" s="375" t="s">
        <v>566</v>
      </c>
      <c r="R440" s="375"/>
      <c r="S440" s="375"/>
      <c r="T440" s="93"/>
      <c r="U440" s="11"/>
      <c r="V440" s="320">
        <v>0</v>
      </c>
      <c r="W440" s="372" t="str">
        <f>IF(OR(G440="Collectors",G440="Special Pricing",G440="Boutique",G440="leafjoy littles™",G440="Premium"),
    IF(V440&gt;0,"Show","Hide"),
    IF(V440 &gt;= _xlfn.XLOOKUP(F440,'Min table'!C$3:C$5,),"Show","Hide")
)</f>
        <v>Hide</v>
      </c>
      <c r="X440" s="317" t="s">
        <v>511</v>
      </c>
      <c r="Y440" s="317" t="s">
        <v>1812</v>
      </c>
    </row>
    <row r="441" spans="3:25" ht="18.75" hidden="1" x14ac:dyDescent="0.3">
      <c r="C441" s="322"/>
      <c r="D441" s="9"/>
      <c r="E441" s="9"/>
      <c r="F441" s="21" t="s">
        <v>62</v>
      </c>
      <c r="G441" s="20" t="s">
        <v>942</v>
      </c>
      <c r="H441" s="377" t="s">
        <v>513</v>
      </c>
      <c r="I441" s="377"/>
      <c r="J441" s="377" t="s">
        <v>677</v>
      </c>
      <c r="K441" s="377"/>
      <c r="L441" s="1"/>
      <c r="M441" s="2"/>
      <c r="N441" s="19">
        <v>17</v>
      </c>
      <c r="O441" s="22" t="str">
        <f t="shared" si="13"/>
        <v/>
      </c>
      <c r="P441" s="21" t="s">
        <v>602</v>
      </c>
      <c r="Q441" s="375" t="s">
        <v>655</v>
      </c>
      <c r="R441" s="375"/>
      <c r="S441" s="375"/>
      <c r="T441" s="93"/>
      <c r="U441" s="11"/>
      <c r="V441" s="320">
        <v>0</v>
      </c>
      <c r="W441" s="372" t="str">
        <f>IF(OR(G441="Collectors",G441="Special Pricing",G441="Boutique",G441="leafjoy littles™",G441="Premium"),
    IF(V441&gt;0,"Show","Hide"),
    IF(V441 &gt;= _xlfn.XLOOKUP(F441,'Min table'!C$3:C$5,),"Show","Hide")
)</f>
        <v>Hide</v>
      </c>
      <c r="X441" s="317" t="s">
        <v>513</v>
      </c>
      <c r="Y441" s="317" t="s">
        <v>1813</v>
      </c>
    </row>
    <row r="442" spans="3:25" ht="18.75" hidden="1" x14ac:dyDescent="0.3">
      <c r="C442" s="322"/>
      <c r="D442" s="9"/>
      <c r="E442" s="9"/>
      <c r="F442" s="21" t="s">
        <v>62</v>
      </c>
      <c r="G442" s="20" t="s">
        <v>942</v>
      </c>
      <c r="H442" s="377" t="s">
        <v>678</v>
      </c>
      <c r="I442" s="377"/>
      <c r="J442" s="377" t="s">
        <v>679</v>
      </c>
      <c r="K442" s="377"/>
      <c r="L442" s="1"/>
      <c r="M442" s="2"/>
      <c r="N442" s="19">
        <v>24</v>
      </c>
      <c r="O442" s="22" t="str">
        <f t="shared" si="13"/>
        <v/>
      </c>
      <c r="P442" s="21" t="s">
        <v>673</v>
      </c>
      <c r="Q442" s="375" t="s">
        <v>680</v>
      </c>
      <c r="R442" s="375"/>
      <c r="S442" s="375"/>
      <c r="T442" s="93"/>
      <c r="U442" s="11"/>
      <c r="V442" s="320">
        <v>0</v>
      </c>
      <c r="W442" s="372" t="str">
        <f>IF(OR(G442="Collectors",G442="Special Pricing",G442="Boutique",G442="leafjoy littles™",G442="Premium"),
    IF(V442&gt;0,"Show","Hide"),
    IF(V442 &gt;= _xlfn.XLOOKUP(F442,'Min table'!C$3:C$5,),"Show","Hide")
)</f>
        <v>Hide</v>
      </c>
      <c r="X442" s="317" t="s">
        <v>678</v>
      </c>
      <c r="Y442" s="317" t="s">
        <v>1814</v>
      </c>
    </row>
    <row r="443" spans="3:25" ht="18.75" hidden="1" x14ac:dyDescent="0.3">
      <c r="C443" s="322"/>
      <c r="D443" s="9"/>
      <c r="E443" s="9"/>
      <c r="F443" s="21" t="s">
        <v>62</v>
      </c>
      <c r="G443" s="20" t="s">
        <v>945</v>
      </c>
      <c r="H443" s="377" t="s">
        <v>517</v>
      </c>
      <c r="I443" s="377"/>
      <c r="J443" s="377">
        <v>0</v>
      </c>
      <c r="K443" s="377"/>
      <c r="L443" s="1"/>
      <c r="M443" s="2"/>
      <c r="N443" s="19">
        <v>13</v>
      </c>
      <c r="O443" s="22" t="str">
        <f t="shared" si="13"/>
        <v/>
      </c>
      <c r="P443" s="21" t="s">
        <v>600</v>
      </c>
      <c r="Q443" s="375" t="s">
        <v>566</v>
      </c>
      <c r="R443" s="375"/>
      <c r="S443" s="375"/>
      <c r="T443" s="93"/>
      <c r="U443" s="11"/>
      <c r="V443" s="320">
        <v>0</v>
      </c>
      <c r="W443" s="372" t="str">
        <f>IF(OR(G443="Collectors",G443="Special Pricing",G443="Boutique",G443="leafjoy littles™",G443="Premium"),
    IF(V443&gt;0,"Show","Hide"),
    IF(V443 &gt;= _xlfn.XLOOKUP(F443,'Min table'!C$3:C$5,),"Show","Hide")
)</f>
        <v>Hide</v>
      </c>
      <c r="X443" s="317" t="s">
        <v>517</v>
      </c>
      <c r="Y443" s="317" t="s">
        <v>1815</v>
      </c>
    </row>
    <row r="444" spans="3:25" ht="18.75" hidden="1" x14ac:dyDescent="0.3">
      <c r="C444" s="322"/>
      <c r="D444" s="9"/>
      <c r="E444" s="9"/>
      <c r="F444" s="21" t="s">
        <v>62</v>
      </c>
      <c r="G444" s="20" t="s">
        <v>945</v>
      </c>
      <c r="H444" s="377" t="s">
        <v>1872</v>
      </c>
      <c r="I444" s="377"/>
      <c r="J444" s="377"/>
      <c r="K444" s="377"/>
      <c r="L444" s="1"/>
      <c r="M444" s="2"/>
      <c r="N444" s="19">
        <v>13</v>
      </c>
      <c r="O444" s="22" t="str">
        <f t="shared" si="13"/>
        <v/>
      </c>
      <c r="P444" s="21" t="s">
        <v>600</v>
      </c>
      <c r="Q444" s="375" t="s">
        <v>566</v>
      </c>
      <c r="R444" s="375"/>
      <c r="S444" s="375"/>
      <c r="T444" s="93"/>
      <c r="U444" s="11"/>
      <c r="V444" s="320">
        <v>11</v>
      </c>
      <c r="W444" s="372" t="str">
        <f>IF(OR(G444="Collectors",G444="Special Pricing",G444="Boutique",G444="leafjoy littles™",G444="Premium"),
    IF(V444&gt;0,"Show","Hide"),
    IF(V444 &gt;= _xlfn.XLOOKUP(F444,'Min table'!C$3:C$5,),"Show","Hide")
)</f>
        <v>Show</v>
      </c>
      <c r="X444" s="317" t="s">
        <v>1872</v>
      </c>
    </row>
    <row r="445" spans="3:25" ht="18.75" hidden="1" x14ac:dyDescent="0.3">
      <c r="C445" s="322"/>
      <c r="D445" s="9"/>
      <c r="E445" s="9"/>
      <c r="F445" s="21" t="s">
        <v>62</v>
      </c>
      <c r="G445" s="20" t="s">
        <v>945</v>
      </c>
      <c r="H445" s="377" t="s">
        <v>681</v>
      </c>
      <c r="I445" s="377"/>
      <c r="J445" s="377" t="s">
        <v>682</v>
      </c>
      <c r="K445" s="377"/>
      <c r="L445" s="1"/>
      <c r="M445" s="2"/>
      <c r="N445" s="19">
        <v>13</v>
      </c>
      <c r="O445" s="22" t="str">
        <f t="shared" si="13"/>
        <v/>
      </c>
      <c r="P445" s="21" t="s">
        <v>600</v>
      </c>
      <c r="Q445" s="375" t="s">
        <v>566</v>
      </c>
      <c r="R445" s="375"/>
      <c r="S445" s="375"/>
      <c r="T445" s="93"/>
      <c r="U445" s="11"/>
      <c r="V445" s="320">
        <v>0</v>
      </c>
      <c r="W445" s="372" t="str">
        <f>IF(OR(G445="Collectors",G445="Special Pricing",G445="Boutique",G445="leafjoy littles™",G445="Premium"),
    IF(V445&gt;0,"Show","Hide"),
    IF(V445 &gt;= _xlfn.XLOOKUP(F445,'Min table'!C$3:C$5,),"Show","Hide")
)</f>
        <v>Hide</v>
      </c>
      <c r="X445" s="317" t="s">
        <v>681</v>
      </c>
      <c r="Y445" s="342" t="s">
        <v>1816</v>
      </c>
    </row>
    <row r="446" spans="3:25" ht="18.75" hidden="1" x14ac:dyDescent="0.3">
      <c r="C446" s="322"/>
      <c r="D446" s="9"/>
      <c r="E446" s="9"/>
      <c r="F446" s="21" t="s">
        <v>62</v>
      </c>
      <c r="G446" s="20" t="s">
        <v>945</v>
      </c>
      <c r="H446" s="377" t="s">
        <v>683</v>
      </c>
      <c r="I446" s="377"/>
      <c r="J446" s="377" t="s">
        <v>684</v>
      </c>
      <c r="K446" s="377"/>
      <c r="L446" s="1"/>
      <c r="M446" s="2"/>
      <c r="N446" s="19">
        <v>13</v>
      </c>
      <c r="O446" s="22" t="str">
        <f t="shared" si="13"/>
        <v/>
      </c>
      <c r="P446" s="21" t="s">
        <v>600</v>
      </c>
      <c r="Q446" s="375" t="s">
        <v>566</v>
      </c>
      <c r="R446" s="375"/>
      <c r="S446" s="375"/>
      <c r="T446" s="106"/>
      <c r="U446" s="11"/>
      <c r="V446" s="320">
        <v>5</v>
      </c>
      <c r="W446" s="372" t="str">
        <f>IF(OR(G446="Collectors",G446="Special Pricing",G446="Boutique",G446="leafjoy littles™",G446="Premium"),
    IF(V446&gt;0,"Show","Hide"),
    IF(V446 &gt;= _xlfn.XLOOKUP(F446,'Min table'!C$3:C$5,),"Show","Hide")
)</f>
        <v>Show</v>
      </c>
      <c r="X446" s="317" t="s">
        <v>683</v>
      </c>
      <c r="Y446" s="342" t="s">
        <v>1817</v>
      </c>
    </row>
    <row r="447" spans="3:25" ht="18.75" hidden="1" x14ac:dyDescent="0.3">
      <c r="C447" s="322"/>
      <c r="D447" s="9"/>
      <c r="E447" s="9"/>
      <c r="F447" s="21" t="s">
        <v>62</v>
      </c>
      <c r="G447" s="20" t="s">
        <v>945</v>
      </c>
      <c r="H447" s="377" t="s">
        <v>685</v>
      </c>
      <c r="I447" s="377"/>
      <c r="J447" s="377" t="s">
        <v>686</v>
      </c>
      <c r="K447" s="377"/>
      <c r="L447" s="1"/>
      <c r="M447" s="2"/>
      <c r="N447" s="19">
        <v>13</v>
      </c>
      <c r="O447" s="22" t="str">
        <f t="shared" ref="O447:O449" si="14">IF(AND(L447="",M447=""),"",(L447*N447)+(M447*(N447+3.47)))</f>
        <v/>
      </c>
      <c r="P447" s="21" t="s">
        <v>600</v>
      </c>
      <c r="Q447" s="375" t="s">
        <v>566</v>
      </c>
      <c r="R447" s="375"/>
      <c r="S447" s="375"/>
      <c r="T447" s="106"/>
      <c r="U447" s="11"/>
      <c r="V447" s="320">
        <v>0</v>
      </c>
      <c r="W447" s="372" t="str">
        <f>IF(OR(G447="Collectors",G447="Special Pricing",G447="Boutique",G447="leafjoy littles™",G447="Premium"),
    IF(V447&gt;0,"Show","Hide"),
    IF(V447 &gt;= _xlfn.XLOOKUP(F447,'Min table'!C$3:C$5,),"Show","Hide")
)</f>
        <v>Hide</v>
      </c>
      <c r="X447" s="317" t="s">
        <v>685</v>
      </c>
      <c r="Y447" s="345" t="s">
        <v>1818</v>
      </c>
    </row>
    <row r="448" spans="3:25" ht="18.75" x14ac:dyDescent="0.3">
      <c r="C448" s="322"/>
      <c r="D448" s="9"/>
      <c r="E448" s="9"/>
      <c r="F448" s="21" t="s">
        <v>62</v>
      </c>
      <c r="G448" s="20" t="s">
        <v>945</v>
      </c>
      <c r="H448" s="377" t="s">
        <v>687</v>
      </c>
      <c r="I448" s="377"/>
      <c r="J448" s="377" t="s">
        <v>688</v>
      </c>
      <c r="K448" s="377"/>
      <c r="L448" s="1"/>
      <c r="M448" s="2"/>
      <c r="N448" s="19">
        <v>13</v>
      </c>
      <c r="O448" s="22" t="str">
        <f t="shared" si="14"/>
        <v/>
      </c>
      <c r="P448" s="21" t="s">
        <v>600</v>
      </c>
      <c r="Q448" s="375" t="s">
        <v>566</v>
      </c>
      <c r="R448" s="375"/>
      <c r="S448" s="375"/>
      <c r="T448" s="106"/>
      <c r="U448" s="11"/>
      <c r="V448" s="320">
        <v>85</v>
      </c>
      <c r="W448" s="372" t="str">
        <f>IF(OR(G448="Collectors",G448="Special Pricing",G448="Boutique",G448="leafjoy littles™",G448="Premium"),
    IF(V448&gt;0,"Show","Hide"),
    IF(V448 &gt;= _xlfn.XLOOKUP(F448,'Min table'!C$3:C$5,),"Show","Hide")
)</f>
        <v>Show</v>
      </c>
      <c r="X448" s="342" t="s">
        <v>687</v>
      </c>
      <c r="Y448" s="345" t="s">
        <v>1819</v>
      </c>
    </row>
    <row r="449" spans="3:25" ht="18.75" x14ac:dyDescent="0.3">
      <c r="C449" s="322"/>
      <c r="D449" s="9"/>
      <c r="E449" s="9"/>
      <c r="F449" s="21" t="s">
        <v>62</v>
      </c>
      <c r="G449" s="20" t="s">
        <v>945</v>
      </c>
      <c r="H449" s="376" t="s">
        <v>689</v>
      </c>
      <c r="I449" s="376"/>
      <c r="J449" s="376" t="s">
        <v>690</v>
      </c>
      <c r="K449" s="376"/>
      <c r="L449" s="1"/>
      <c r="M449" s="2"/>
      <c r="N449" s="19">
        <v>13</v>
      </c>
      <c r="O449" s="22" t="str">
        <f t="shared" si="14"/>
        <v/>
      </c>
      <c r="P449" s="21" t="s">
        <v>602</v>
      </c>
      <c r="Q449" s="375" t="s">
        <v>566</v>
      </c>
      <c r="R449" s="375"/>
      <c r="S449" s="375"/>
      <c r="T449" s="93"/>
      <c r="U449" s="11"/>
      <c r="V449" s="320">
        <v>13</v>
      </c>
      <c r="W449" s="372" t="str">
        <f>IF(OR(G449="Collectors",G449="Special Pricing",G449="Boutique",G449="leafjoy littles™",G449="Premium"),
    IF(V449&gt;0,"Show","Hide"),
    IF(V449 &gt;= _xlfn.XLOOKUP(F449,'Min table'!C$3:C$5,),"Show","Hide")
)</f>
        <v>Show</v>
      </c>
      <c r="X449" s="345" t="s">
        <v>689</v>
      </c>
      <c r="Y449" s="345" t="s">
        <v>1820</v>
      </c>
    </row>
    <row r="450" spans="3:25" ht="21.75" thickBot="1" x14ac:dyDescent="0.4">
      <c r="C450" s="322"/>
      <c r="D450" s="9"/>
      <c r="E450" s="9"/>
      <c r="F450" s="260"/>
      <c r="G450" s="261"/>
      <c r="H450" s="261"/>
      <c r="I450" s="261"/>
      <c r="J450" s="261"/>
      <c r="K450" s="228" t="s">
        <v>2746</v>
      </c>
      <c r="L450" s="85">
        <f>SUBTOTAL(9,L380:L449)/6</f>
        <v>0</v>
      </c>
      <c r="M450" s="85">
        <f>SUBTOTAL(9,M380:M449)/6</f>
        <v>0</v>
      </c>
      <c r="N450" s="272"/>
      <c r="O450" s="18">
        <f>SUBTOTAL(9,O380:O449)</f>
        <v>0</v>
      </c>
      <c r="P450" s="271"/>
      <c r="Q450" s="272"/>
      <c r="R450" s="273"/>
      <c r="S450" s="274"/>
      <c r="T450" s="176"/>
      <c r="U450" s="11"/>
      <c r="V450" s="346"/>
      <c r="W450" s="332"/>
    </row>
    <row r="451" spans="3:25" ht="21.75" thickTop="1" x14ac:dyDescent="0.35">
      <c r="C451" s="322"/>
      <c r="D451" s="9"/>
      <c r="E451" s="9"/>
      <c r="F451" s="262"/>
      <c r="G451" s="263"/>
      <c r="H451" s="263"/>
      <c r="I451" s="263"/>
      <c r="J451" s="263"/>
      <c r="K451" s="243"/>
      <c r="L451" s="263"/>
      <c r="M451" s="243"/>
      <c r="N451" s="216"/>
      <c r="O451" s="268"/>
      <c r="P451" s="218"/>
      <c r="Q451" s="216"/>
      <c r="R451" s="269"/>
      <c r="S451" s="270"/>
      <c r="T451" s="176"/>
      <c r="U451" s="11"/>
      <c r="V451" s="346"/>
      <c r="W451" s="332"/>
    </row>
    <row r="452" spans="3:25" ht="33" customHeight="1" x14ac:dyDescent="0.45">
      <c r="C452" s="322"/>
      <c r="D452" s="9"/>
      <c r="E452" s="9"/>
      <c r="F452" s="264"/>
      <c r="G452" s="203"/>
      <c r="H452" s="515" t="s">
        <v>2771</v>
      </c>
      <c r="I452" s="515"/>
      <c r="J452" s="515"/>
      <c r="K452" s="515"/>
      <c r="L452" s="263"/>
      <c r="M452" s="243"/>
      <c r="N452" s="268"/>
      <c r="O452" s="268"/>
      <c r="P452" s="217"/>
      <c r="Q452" s="207"/>
      <c r="R452" s="269"/>
      <c r="S452" s="270"/>
      <c r="T452" s="176"/>
      <c r="U452" s="11"/>
      <c r="V452" s="346"/>
      <c r="W452" s="332"/>
    </row>
    <row r="453" spans="3:25" ht="33" customHeight="1" x14ac:dyDescent="0.35">
      <c r="C453" s="322"/>
      <c r="D453" s="9"/>
      <c r="E453" s="9"/>
      <c r="F453" s="264"/>
      <c r="G453" s="203"/>
      <c r="H453" s="416" t="s">
        <v>2768</v>
      </c>
      <c r="I453" s="416"/>
      <c r="J453" s="416"/>
      <c r="K453" s="416"/>
      <c r="L453" s="263"/>
      <c r="M453" s="243"/>
      <c r="N453" s="268"/>
      <c r="O453" s="268"/>
      <c r="P453" s="217"/>
      <c r="Q453" s="207"/>
      <c r="R453" s="269"/>
      <c r="S453" s="269"/>
      <c r="T453" s="374"/>
      <c r="U453" s="11"/>
      <c r="V453" s="346"/>
      <c r="W453" s="332"/>
    </row>
    <row r="454" spans="3:25" ht="37.5" x14ac:dyDescent="0.35">
      <c r="C454" s="322"/>
      <c r="D454" s="9"/>
      <c r="E454" s="9"/>
      <c r="F454" s="262"/>
      <c r="G454" s="299"/>
      <c r="H454" s="507" t="s">
        <v>2770</v>
      </c>
      <c r="I454" s="507"/>
      <c r="J454" s="507"/>
      <c r="K454" s="507"/>
      <c r="L454" s="363" t="s">
        <v>28</v>
      </c>
      <c r="M454" s="364" t="s">
        <v>61</v>
      </c>
      <c r="N454" s="204" t="s">
        <v>30</v>
      </c>
      <c r="O454" s="205" t="s">
        <v>31</v>
      </c>
      <c r="P454" s="204" t="s">
        <v>32</v>
      </c>
      <c r="Q454" s="508" t="s">
        <v>33</v>
      </c>
      <c r="R454" s="508"/>
      <c r="S454" s="509"/>
      <c r="T454" s="103"/>
      <c r="U454" s="11"/>
      <c r="V454" s="346"/>
      <c r="W454" s="332"/>
    </row>
    <row r="455" spans="3:25" ht="18.75" x14ac:dyDescent="0.3">
      <c r="C455" s="322"/>
      <c r="D455" s="9"/>
      <c r="E455" s="9"/>
      <c r="F455" s="21" t="s">
        <v>77</v>
      </c>
      <c r="G455" s="20" t="s">
        <v>691</v>
      </c>
      <c r="H455" s="377" t="s">
        <v>1856</v>
      </c>
      <c r="I455" s="377"/>
      <c r="J455" s="377" t="s">
        <v>692</v>
      </c>
      <c r="K455" s="377"/>
      <c r="L455" s="1"/>
      <c r="M455" s="5"/>
      <c r="N455" s="19">
        <v>2.65</v>
      </c>
      <c r="O455" s="22" t="str">
        <f t="shared" ref="O455:O540" si="15">IF(AND(L455="",M455=""),"",(L455*N455)+(M455*(N455+2.1)))</f>
        <v/>
      </c>
      <c r="P455" s="19" t="s">
        <v>84</v>
      </c>
      <c r="Q455" s="375" t="s">
        <v>81</v>
      </c>
      <c r="R455" s="375"/>
      <c r="S455" s="375"/>
      <c r="T455" s="106"/>
      <c r="U455" s="11"/>
      <c r="V455" s="320">
        <v>92</v>
      </c>
      <c r="W455" s="372" t="str">
        <f>IF(OR(G455="Collectors",G455="Special Pricing",G455="Boutique",G455="leafjoy littles",G455="Premium"),
    IF(V455&gt;0,"Show","Hide"),
    IF(V455 &gt;= _xlfn.XLOOKUP(F455,'Min table'!C$3:C$5,),"Show","Hide")
)</f>
        <v>Show</v>
      </c>
      <c r="X455" s="317" t="s">
        <v>2110</v>
      </c>
      <c r="Y455" s="317" t="s">
        <v>1856</v>
      </c>
    </row>
    <row r="456" spans="3:25" ht="18.75" hidden="1" x14ac:dyDescent="0.3">
      <c r="C456" s="322"/>
      <c r="D456" s="9"/>
      <c r="E456" s="9"/>
      <c r="F456" s="21" t="s">
        <v>77</v>
      </c>
      <c r="G456" s="20" t="s">
        <v>691</v>
      </c>
      <c r="H456" s="377" t="s">
        <v>693</v>
      </c>
      <c r="I456" s="377"/>
      <c r="J456" s="377" t="s">
        <v>694</v>
      </c>
      <c r="K456" s="377"/>
      <c r="L456" s="1"/>
      <c r="M456" s="5"/>
      <c r="N456" s="19">
        <v>2.65</v>
      </c>
      <c r="O456" s="22" t="str">
        <f t="shared" si="15"/>
        <v/>
      </c>
      <c r="P456" s="19" t="s">
        <v>84</v>
      </c>
      <c r="Q456" s="375" t="s">
        <v>81</v>
      </c>
      <c r="R456" s="375"/>
      <c r="S456" s="375"/>
      <c r="T456" s="93"/>
      <c r="U456" s="11"/>
      <c r="V456" s="320">
        <v>0</v>
      </c>
      <c r="W456" s="372" t="str">
        <f>IF(OR(G456="Collectors",G456="Special Pricing",G456="Boutique",G456="leafjoy littles",G456="Premium"),
    IF(V456&gt;0,"Show","Hide"),
    IF(V456 &gt;= _xlfn.XLOOKUP(F456,'Min table'!C$3:C$5,),"Show","Hide")
)</f>
        <v>Hide</v>
      </c>
      <c r="X456" s="317" t="s">
        <v>2111</v>
      </c>
      <c r="Y456" s="317" t="s">
        <v>693</v>
      </c>
    </row>
    <row r="457" spans="3:25" ht="18.75" hidden="1" x14ac:dyDescent="0.3">
      <c r="C457" s="322"/>
      <c r="D457" s="9"/>
      <c r="E457" s="9"/>
      <c r="F457" s="21" t="s">
        <v>77</v>
      </c>
      <c r="G457" s="20" t="s">
        <v>691</v>
      </c>
      <c r="H457" s="377" t="s">
        <v>695</v>
      </c>
      <c r="I457" s="377"/>
      <c r="J457" s="377" t="s">
        <v>696</v>
      </c>
      <c r="K457" s="377"/>
      <c r="L457" s="1"/>
      <c r="M457" s="5"/>
      <c r="N457" s="19">
        <v>2.65</v>
      </c>
      <c r="O457" s="22" t="str">
        <f t="shared" si="15"/>
        <v/>
      </c>
      <c r="P457" s="19" t="s">
        <v>697</v>
      </c>
      <c r="Q457" s="375" t="s">
        <v>81</v>
      </c>
      <c r="R457" s="375"/>
      <c r="S457" s="375"/>
      <c r="T457" s="93"/>
      <c r="U457" s="11"/>
      <c r="V457" s="320">
        <v>0</v>
      </c>
      <c r="W457" s="372" t="str">
        <f>IF(OR(G457="Collectors",G457="Special Pricing",G457="Boutique",G457="leafjoy littles",G457="Premium"),
    IF(V457&gt;0,"Show","Hide"),
    IF(V457 &gt;= _xlfn.XLOOKUP(F457,'Min table'!C$3:C$5,),"Show","Hide")
)</f>
        <v>Hide</v>
      </c>
      <c r="X457" s="317" t="s">
        <v>2112</v>
      </c>
      <c r="Y457" s="317" t="s">
        <v>695</v>
      </c>
    </row>
    <row r="458" spans="3:25" ht="18.75" hidden="1" x14ac:dyDescent="0.3">
      <c r="C458" s="322"/>
      <c r="D458" s="9"/>
      <c r="E458" s="9"/>
      <c r="F458" s="21" t="s">
        <v>77</v>
      </c>
      <c r="G458" s="20" t="s">
        <v>691</v>
      </c>
      <c r="H458" s="377" t="s">
        <v>698</v>
      </c>
      <c r="I458" s="377"/>
      <c r="J458" s="377" t="s">
        <v>699</v>
      </c>
      <c r="K458" s="377"/>
      <c r="L458" s="1"/>
      <c r="M458" s="5"/>
      <c r="N458" s="19">
        <v>2.65</v>
      </c>
      <c r="O458" s="22" t="str">
        <f t="shared" si="15"/>
        <v/>
      </c>
      <c r="P458" s="19" t="s">
        <v>700</v>
      </c>
      <c r="Q458" s="375" t="s">
        <v>81</v>
      </c>
      <c r="R458" s="375"/>
      <c r="S458" s="375"/>
      <c r="T458" s="93"/>
      <c r="U458" s="11"/>
      <c r="V458" s="320">
        <v>0</v>
      </c>
      <c r="W458" s="372" t="str">
        <f>IF(OR(G458="Collectors",G458="Special Pricing",G458="Boutique",G458="leafjoy littles",G458="Premium"),
    IF(V458&gt;0,"Show","Hide"),
    IF(V458 &gt;= _xlfn.XLOOKUP(F458,'Min table'!C$3:C$5,),"Show","Hide")
)</f>
        <v>Hide</v>
      </c>
      <c r="X458" s="317" t="s">
        <v>2113</v>
      </c>
      <c r="Y458" s="317" t="s">
        <v>698</v>
      </c>
    </row>
    <row r="459" spans="3:25" ht="18.75" hidden="1" x14ac:dyDescent="0.3">
      <c r="C459" s="322"/>
      <c r="D459" s="9"/>
      <c r="E459" s="9"/>
      <c r="F459" s="21" t="s">
        <v>77</v>
      </c>
      <c r="G459" s="20" t="s">
        <v>691</v>
      </c>
      <c r="H459" s="377" t="s">
        <v>701</v>
      </c>
      <c r="I459" s="377"/>
      <c r="J459" s="377" t="s">
        <v>702</v>
      </c>
      <c r="K459" s="377"/>
      <c r="L459" s="1"/>
      <c r="M459" s="5"/>
      <c r="N459" s="19">
        <v>2.65</v>
      </c>
      <c r="O459" s="22" t="str">
        <f t="shared" si="15"/>
        <v/>
      </c>
      <c r="P459" s="19" t="s">
        <v>700</v>
      </c>
      <c r="Q459" s="375" t="s">
        <v>81</v>
      </c>
      <c r="R459" s="375"/>
      <c r="S459" s="375"/>
      <c r="T459" s="93"/>
      <c r="U459" s="11"/>
      <c r="V459" s="320">
        <v>0</v>
      </c>
      <c r="W459" s="372" t="str">
        <f>IF(OR(G459="Collectors",G459="Special Pricing",G459="Boutique",G459="leafjoy littles",G459="Premium"),
    IF(V459&gt;0,"Show","Hide"),
    IF(V459 &gt;= _xlfn.XLOOKUP(F459,'Min table'!C$3:C$5,),"Show","Hide")
)</f>
        <v>Hide</v>
      </c>
      <c r="X459" s="317" t="s">
        <v>2114</v>
      </c>
      <c r="Y459" s="317" t="s">
        <v>701</v>
      </c>
    </row>
    <row r="460" spans="3:25" ht="18.75" hidden="1" x14ac:dyDescent="0.3">
      <c r="C460" s="322"/>
      <c r="D460" s="9"/>
      <c r="E460" s="9"/>
      <c r="F460" s="21" t="s">
        <v>77</v>
      </c>
      <c r="G460" s="20" t="s">
        <v>691</v>
      </c>
      <c r="H460" s="377" t="s">
        <v>703</v>
      </c>
      <c r="I460" s="377"/>
      <c r="J460" s="377" t="s">
        <v>704</v>
      </c>
      <c r="K460" s="377"/>
      <c r="L460" s="1"/>
      <c r="M460" s="5"/>
      <c r="N460" s="19">
        <v>2.65</v>
      </c>
      <c r="O460" s="22" t="str">
        <f t="shared" si="15"/>
        <v/>
      </c>
      <c r="P460" s="19" t="s">
        <v>700</v>
      </c>
      <c r="Q460" s="375" t="s">
        <v>81</v>
      </c>
      <c r="R460" s="375"/>
      <c r="S460" s="375"/>
      <c r="T460" s="93"/>
      <c r="U460" s="11"/>
      <c r="V460" s="320">
        <v>0</v>
      </c>
      <c r="W460" s="372" t="str">
        <f>IF(OR(G460="Collectors",G460="Special Pricing",G460="Boutique",G460="leafjoy littles",G460="Premium"),
    IF(V460&gt;0,"Show","Hide"),
    IF(V460 &gt;= _xlfn.XLOOKUP(F460,'Min table'!C$3:C$5,),"Show","Hide")
)</f>
        <v>Hide</v>
      </c>
      <c r="X460" s="342" t="s">
        <v>2115</v>
      </c>
      <c r="Y460" s="317" t="s">
        <v>703</v>
      </c>
    </row>
    <row r="461" spans="3:25" ht="18.75" hidden="1" x14ac:dyDescent="0.3">
      <c r="C461" s="322"/>
      <c r="D461" s="9"/>
      <c r="E461" s="9"/>
      <c r="F461" s="21" t="s">
        <v>77</v>
      </c>
      <c r="G461" s="20" t="s">
        <v>691</v>
      </c>
      <c r="H461" s="377" t="s">
        <v>705</v>
      </c>
      <c r="I461" s="377"/>
      <c r="J461" s="377" t="s">
        <v>706</v>
      </c>
      <c r="K461" s="377"/>
      <c r="L461" s="1"/>
      <c r="M461" s="5"/>
      <c r="N461" s="19">
        <v>2.65</v>
      </c>
      <c r="O461" s="22" t="str">
        <f t="shared" si="15"/>
        <v/>
      </c>
      <c r="P461" s="19" t="s">
        <v>700</v>
      </c>
      <c r="Q461" s="375" t="s">
        <v>81</v>
      </c>
      <c r="R461" s="375"/>
      <c r="S461" s="375"/>
      <c r="T461" s="93"/>
      <c r="U461" s="11"/>
      <c r="V461" s="320">
        <v>0</v>
      </c>
      <c r="W461" s="372" t="str">
        <f>IF(OR(G461="Collectors",G461="Special Pricing",G461="Boutique",G461="leafjoy littles",G461="Premium"),
    IF(V461&gt;0,"Show","Hide"),
    IF(V461 &gt;= _xlfn.XLOOKUP(F461,'Min table'!C$3:C$5,),"Show","Hide")
)</f>
        <v>Hide</v>
      </c>
      <c r="X461" s="317" t="s">
        <v>2116</v>
      </c>
      <c r="Y461" s="317" t="s">
        <v>705</v>
      </c>
    </row>
    <row r="462" spans="3:25" ht="18.75" hidden="1" x14ac:dyDescent="0.3">
      <c r="C462" s="322"/>
      <c r="D462" s="9"/>
      <c r="E462" s="9"/>
      <c r="F462" s="21" t="s">
        <v>77</v>
      </c>
      <c r="G462" s="20" t="s">
        <v>691</v>
      </c>
      <c r="H462" s="377" t="s">
        <v>707</v>
      </c>
      <c r="I462" s="377"/>
      <c r="J462" s="377" t="s">
        <v>708</v>
      </c>
      <c r="K462" s="377"/>
      <c r="L462" s="1"/>
      <c r="M462" s="5"/>
      <c r="N462" s="19">
        <v>2.65</v>
      </c>
      <c r="O462" s="22" t="str">
        <f t="shared" si="15"/>
        <v/>
      </c>
      <c r="P462" s="19" t="s">
        <v>80</v>
      </c>
      <c r="Q462" s="375" t="s">
        <v>81</v>
      </c>
      <c r="R462" s="375"/>
      <c r="S462" s="375"/>
      <c r="T462" s="93"/>
      <c r="U462" s="11"/>
      <c r="V462" s="320">
        <v>0</v>
      </c>
      <c r="W462" s="372" t="str">
        <f>IF(OR(G462="Collectors",G462="Special Pricing",G462="Boutique",G462="leafjoy littles",G462="Premium"),
    IF(V462&gt;0,"Show","Hide"),
    IF(V462 &gt;= _xlfn.XLOOKUP(F462,'Min table'!C$3:C$5,),"Show","Hide")
)</f>
        <v>Hide</v>
      </c>
      <c r="X462" s="317" t="s">
        <v>2117</v>
      </c>
      <c r="Y462" s="317" t="s">
        <v>707</v>
      </c>
    </row>
    <row r="463" spans="3:25" ht="18.75" hidden="1" x14ac:dyDescent="0.3">
      <c r="C463" s="322"/>
      <c r="D463" s="9"/>
      <c r="E463" s="9"/>
      <c r="F463" s="21" t="s">
        <v>77</v>
      </c>
      <c r="G463" s="20" t="s">
        <v>691</v>
      </c>
      <c r="H463" s="377" t="s">
        <v>709</v>
      </c>
      <c r="I463" s="377"/>
      <c r="J463" s="377" t="s">
        <v>710</v>
      </c>
      <c r="K463" s="377"/>
      <c r="L463" s="1"/>
      <c r="M463" s="5"/>
      <c r="N463" s="19">
        <v>2.65</v>
      </c>
      <c r="O463" s="22" t="str">
        <f t="shared" si="15"/>
        <v/>
      </c>
      <c r="P463" s="19" t="s">
        <v>80</v>
      </c>
      <c r="Q463" s="375" t="s">
        <v>81</v>
      </c>
      <c r="R463" s="375"/>
      <c r="S463" s="375"/>
      <c r="T463" s="93"/>
      <c r="U463" s="11"/>
      <c r="V463" s="320">
        <v>0</v>
      </c>
      <c r="W463" s="372" t="str">
        <f>IF(OR(G463="Collectors",G463="Special Pricing",G463="Boutique",G463="leafjoy littles",G463="Premium"),
    IF(V463&gt;0,"Show","Hide"),
    IF(V463 &gt;= _xlfn.XLOOKUP(F463,'Min table'!C$3:C$5,),"Show","Hide")
)</f>
        <v>Hide</v>
      </c>
      <c r="X463" s="342" t="s">
        <v>2118</v>
      </c>
      <c r="Y463" s="342" t="s">
        <v>709</v>
      </c>
    </row>
    <row r="464" spans="3:25" ht="18.75" hidden="1" x14ac:dyDescent="0.3">
      <c r="C464" s="322"/>
      <c r="D464" s="9"/>
      <c r="E464" s="9"/>
      <c r="F464" s="21" t="s">
        <v>77</v>
      </c>
      <c r="G464" s="20" t="s">
        <v>691</v>
      </c>
      <c r="H464" s="377" t="s">
        <v>711</v>
      </c>
      <c r="I464" s="377"/>
      <c r="J464" s="377" t="s">
        <v>712</v>
      </c>
      <c r="K464" s="377"/>
      <c r="L464" s="1"/>
      <c r="M464" s="5"/>
      <c r="N464" s="19">
        <v>2.65</v>
      </c>
      <c r="O464" s="22" t="str">
        <f>IF(AND(L464="",M464=""),"",(L464*N465)+(M464*(N465+2.1)))</f>
        <v/>
      </c>
      <c r="P464" s="19" t="s">
        <v>713</v>
      </c>
      <c r="Q464" s="375" t="s">
        <v>81</v>
      </c>
      <c r="R464" s="375"/>
      <c r="S464" s="375"/>
      <c r="T464" s="93"/>
      <c r="U464" s="11"/>
      <c r="V464" s="320">
        <v>0</v>
      </c>
      <c r="W464" s="372" t="str">
        <f>IF(OR(G464="Collectors",G464="Special Pricing",G464="Boutique",G464="leafjoy littles",G464="Premium"),
    IF(V464&gt;0,"Show","Hide"),
    IF(V464 &gt;= _xlfn.XLOOKUP(F464,'Min table'!C$3:C$5,),"Show","Hide")
)</f>
        <v>Hide</v>
      </c>
      <c r="X464" s="342" t="s">
        <v>2119</v>
      </c>
      <c r="Y464" s="342" t="s">
        <v>711</v>
      </c>
    </row>
    <row r="465" spans="3:25" ht="18.75" hidden="1" x14ac:dyDescent="0.3">
      <c r="C465" s="322"/>
      <c r="D465" s="9"/>
      <c r="E465" s="9"/>
      <c r="F465" s="21" t="s">
        <v>77</v>
      </c>
      <c r="G465" s="20" t="s">
        <v>691</v>
      </c>
      <c r="H465" s="377" t="s">
        <v>1742</v>
      </c>
      <c r="I465" s="377"/>
      <c r="J465" s="377"/>
      <c r="K465" s="377"/>
      <c r="L465" s="1"/>
      <c r="M465" s="5"/>
      <c r="N465" s="19">
        <v>2.65</v>
      </c>
      <c r="O465" s="22" t="str">
        <f>IF(AND(L465="",M465=""),"",(L465*N466)+(M465*(N466+2.1)))</f>
        <v/>
      </c>
      <c r="P465" s="19" t="s">
        <v>1862</v>
      </c>
      <c r="Q465" s="375" t="s">
        <v>81</v>
      </c>
      <c r="R465" s="375"/>
      <c r="S465" s="375"/>
      <c r="T465" s="93"/>
      <c r="U465" s="11"/>
      <c r="V465" s="320">
        <v>0</v>
      </c>
      <c r="W465" s="372" t="str">
        <f>IF(OR(G465="Collectors",G465="Special Pricing",G465="Boutique",G465="leafjoy littles",G465="Premium"),
    IF(V465&gt;0,"Show","Hide"),
    IF(V465 &gt;= _xlfn.XLOOKUP(F465,'Min table'!C$3:C$5,),"Show","Hide")
)</f>
        <v>Hide</v>
      </c>
      <c r="X465" s="342" t="s">
        <v>2120</v>
      </c>
      <c r="Y465" s="342" t="s">
        <v>1742</v>
      </c>
    </row>
    <row r="466" spans="3:25" ht="18.75" hidden="1" x14ac:dyDescent="0.3">
      <c r="C466" s="322"/>
      <c r="D466" s="9"/>
      <c r="E466" s="9"/>
      <c r="F466" s="21" t="s">
        <v>77</v>
      </c>
      <c r="G466" s="20" t="s">
        <v>691</v>
      </c>
      <c r="H466" s="377" t="s">
        <v>714</v>
      </c>
      <c r="I466" s="377"/>
      <c r="J466" s="377" t="s">
        <v>715</v>
      </c>
      <c r="K466" s="377"/>
      <c r="L466" s="1"/>
      <c r="M466" s="5"/>
      <c r="N466" s="19">
        <v>2.65</v>
      </c>
      <c r="O466" s="22" t="str">
        <f t="shared" si="15"/>
        <v/>
      </c>
      <c r="P466" s="19" t="s">
        <v>713</v>
      </c>
      <c r="Q466" s="375" t="s">
        <v>81</v>
      </c>
      <c r="R466" s="375"/>
      <c r="S466" s="375"/>
      <c r="T466" s="93"/>
      <c r="U466" s="11"/>
      <c r="V466" s="320">
        <v>0</v>
      </c>
      <c r="W466" s="372" t="str">
        <f>IF(OR(G466="Collectors",G466="Special Pricing",G466="Boutique",G466="leafjoy littles",G466="Premium"),
    IF(V466&gt;0,"Show","Hide"),
    IF(V466 &gt;= _xlfn.XLOOKUP(F466,'Min table'!C$3:C$5,),"Show","Hide")
)</f>
        <v>Hide</v>
      </c>
      <c r="X466" s="342" t="s">
        <v>2121</v>
      </c>
      <c r="Y466" s="342" t="s">
        <v>714</v>
      </c>
    </row>
    <row r="467" spans="3:25" ht="18.75" hidden="1" x14ac:dyDescent="0.3">
      <c r="C467" s="322"/>
      <c r="D467" s="9"/>
      <c r="E467" s="9"/>
      <c r="F467" s="21" t="s">
        <v>77</v>
      </c>
      <c r="G467" s="20" t="s">
        <v>691</v>
      </c>
      <c r="H467" s="377" t="s">
        <v>716</v>
      </c>
      <c r="I467" s="377"/>
      <c r="J467" s="377" t="s">
        <v>717</v>
      </c>
      <c r="K467" s="377"/>
      <c r="L467" s="1"/>
      <c r="M467" s="5"/>
      <c r="N467" s="19">
        <v>2.65</v>
      </c>
      <c r="O467" s="22" t="str">
        <f t="shared" si="15"/>
        <v/>
      </c>
      <c r="P467" s="19" t="s">
        <v>713</v>
      </c>
      <c r="Q467" s="375" t="s">
        <v>81</v>
      </c>
      <c r="R467" s="375"/>
      <c r="S467" s="375"/>
      <c r="T467" s="93"/>
      <c r="U467" s="11"/>
      <c r="V467" s="320">
        <v>0</v>
      </c>
      <c r="W467" s="372" t="str">
        <f>IF(OR(G467="Collectors",G467="Special Pricing",G467="Boutique",G467="leafjoy littles",G467="Premium"),
    IF(V467&gt;0,"Show","Hide"),
    IF(V467 &gt;= _xlfn.XLOOKUP(F467,'Min table'!C$3:C$5,),"Show","Hide")
)</f>
        <v>Hide</v>
      </c>
      <c r="X467" s="317" t="s">
        <v>2122</v>
      </c>
      <c r="Y467" s="342" t="s">
        <v>716</v>
      </c>
    </row>
    <row r="468" spans="3:25" ht="18.75" hidden="1" x14ac:dyDescent="0.3">
      <c r="C468" s="322"/>
      <c r="D468" s="9"/>
      <c r="E468" s="9"/>
      <c r="F468" s="21" t="s">
        <v>77</v>
      </c>
      <c r="G468" s="20" t="s">
        <v>691</v>
      </c>
      <c r="H468" s="377" t="s">
        <v>718</v>
      </c>
      <c r="I468" s="377"/>
      <c r="J468" s="377" t="s">
        <v>719</v>
      </c>
      <c r="K468" s="377"/>
      <c r="L468" s="1"/>
      <c r="M468" s="5"/>
      <c r="N468" s="19">
        <v>2.65</v>
      </c>
      <c r="O468" s="22" t="str">
        <f t="shared" si="15"/>
        <v/>
      </c>
      <c r="P468" s="19" t="s">
        <v>713</v>
      </c>
      <c r="Q468" s="375" t="s">
        <v>81</v>
      </c>
      <c r="R468" s="375"/>
      <c r="S468" s="375"/>
      <c r="T468" s="93"/>
      <c r="U468" s="11"/>
      <c r="V468" s="320">
        <v>0</v>
      </c>
      <c r="W468" s="372" t="str">
        <f>IF(OR(G468="Collectors",G468="Special Pricing",G468="Boutique",G468="leafjoy littles",G468="Premium"),
    IF(V468&gt;0,"Show","Hide"),
    IF(V468 &gt;= _xlfn.XLOOKUP(F468,'Min table'!C$3:C$5,),"Show","Hide")
)</f>
        <v>Hide</v>
      </c>
      <c r="X468" s="342" t="s">
        <v>2123</v>
      </c>
      <c r="Y468" s="342" t="s">
        <v>718</v>
      </c>
    </row>
    <row r="469" spans="3:25" ht="18.75" hidden="1" x14ac:dyDescent="0.3">
      <c r="C469" s="322"/>
      <c r="D469" s="9"/>
      <c r="E469" s="9"/>
      <c r="F469" s="21" t="s">
        <v>77</v>
      </c>
      <c r="G469" s="20" t="s">
        <v>691</v>
      </c>
      <c r="H469" s="377" t="s">
        <v>2592</v>
      </c>
      <c r="I469" s="377" t="s">
        <v>2583</v>
      </c>
      <c r="J469" s="377" t="s">
        <v>2583</v>
      </c>
      <c r="K469" s="377" t="s">
        <v>2583</v>
      </c>
      <c r="L469" s="1"/>
      <c r="M469" s="5"/>
      <c r="N469" s="19">
        <v>2.65</v>
      </c>
      <c r="O469" s="22"/>
      <c r="P469" s="19" t="s">
        <v>2593</v>
      </c>
      <c r="Q469" s="375" t="s">
        <v>81</v>
      </c>
      <c r="R469" s="375"/>
      <c r="S469" s="375"/>
      <c r="T469" s="93"/>
      <c r="U469" s="11"/>
      <c r="V469" s="320">
        <v>0</v>
      </c>
      <c r="W469" s="372" t="str">
        <f>IF(OR(G469="Collectors",G469="Special Pricing",G469="Boutique",G469="leafjoy littles",G469="Premium"),
    IF(V469&gt;0,"Show","Hide"),
    IF(V469 &gt;= _xlfn.XLOOKUP(F469,'Min table'!C$3:C$5,),"Show","Hide")
)</f>
        <v>Hide</v>
      </c>
      <c r="X469" s="342" t="s">
        <v>2611</v>
      </c>
      <c r="Y469" s="342" t="s">
        <v>2583</v>
      </c>
    </row>
    <row r="470" spans="3:25" ht="18.75" hidden="1" x14ac:dyDescent="0.3">
      <c r="C470" s="322"/>
      <c r="D470" s="9"/>
      <c r="E470" s="9"/>
      <c r="F470" s="21" t="s">
        <v>77</v>
      </c>
      <c r="G470" s="20" t="s">
        <v>691</v>
      </c>
      <c r="H470" s="377" t="s">
        <v>2588</v>
      </c>
      <c r="I470" s="377" t="s">
        <v>2584</v>
      </c>
      <c r="J470" s="377" t="s">
        <v>2584</v>
      </c>
      <c r="K470" s="377" t="s">
        <v>2584</v>
      </c>
      <c r="L470" s="1"/>
      <c r="M470" s="5"/>
      <c r="N470" s="19">
        <v>2.65</v>
      </c>
      <c r="O470" s="22"/>
      <c r="P470" s="19" t="s">
        <v>2594</v>
      </c>
      <c r="Q470" s="375" t="s">
        <v>81</v>
      </c>
      <c r="R470" s="375"/>
      <c r="S470" s="375"/>
      <c r="T470" s="93"/>
      <c r="U470" s="11"/>
      <c r="V470" s="320">
        <v>0</v>
      </c>
      <c r="W470" s="372" t="str">
        <f>IF(OR(G470="Collectors",G470="Special Pricing",G470="Boutique",G470="leafjoy littles",G470="Premium"),
    IF(V470&gt;0,"Show","Hide"),
    IF(V470 &gt;= _xlfn.XLOOKUP(F470,'Min table'!C$3:C$5,),"Show","Hide")
)</f>
        <v>Hide</v>
      </c>
      <c r="X470" s="342" t="s">
        <v>2612</v>
      </c>
      <c r="Y470" s="342" t="s">
        <v>2584</v>
      </c>
    </row>
    <row r="471" spans="3:25" ht="18.75" hidden="1" x14ac:dyDescent="0.3">
      <c r="C471" s="322"/>
      <c r="D471" s="9"/>
      <c r="E471" s="9"/>
      <c r="F471" s="21" t="s">
        <v>77</v>
      </c>
      <c r="G471" s="20" t="s">
        <v>691</v>
      </c>
      <c r="H471" s="377" t="s">
        <v>2589</v>
      </c>
      <c r="I471" s="377" t="s">
        <v>2585</v>
      </c>
      <c r="J471" s="377" t="s">
        <v>2585</v>
      </c>
      <c r="K471" s="377" t="s">
        <v>2585</v>
      </c>
      <c r="L471" s="1"/>
      <c r="M471" s="5"/>
      <c r="N471" s="19">
        <v>2.65</v>
      </c>
      <c r="O471" s="22"/>
      <c r="P471" s="19" t="s">
        <v>2594</v>
      </c>
      <c r="Q471" s="375" t="s">
        <v>81</v>
      </c>
      <c r="R471" s="375"/>
      <c r="S471" s="375"/>
      <c r="T471" s="93"/>
      <c r="U471" s="11"/>
      <c r="V471" s="320">
        <v>0</v>
      </c>
      <c r="W471" s="372" t="str">
        <f>IF(OR(G471="Collectors",G471="Special Pricing",G471="Boutique",G471="leafjoy littles",G471="Premium"),
    IF(V471&gt;0,"Show","Hide"),
    IF(V471 &gt;= _xlfn.XLOOKUP(F471,'Min table'!C$3:C$5,),"Show","Hide")
)</f>
        <v>Hide</v>
      </c>
      <c r="X471" s="342" t="s">
        <v>2613</v>
      </c>
      <c r="Y471" s="342" t="s">
        <v>2585</v>
      </c>
    </row>
    <row r="472" spans="3:25" ht="18.75" hidden="1" x14ac:dyDescent="0.3">
      <c r="C472" s="322"/>
      <c r="D472" s="9"/>
      <c r="E472" s="9"/>
      <c r="F472" s="21" t="s">
        <v>77</v>
      </c>
      <c r="G472" s="20" t="s">
        <v>691</v>
      </c>
      <c r="H472" s="377" t="s">
        <v>2590</v>
      </c>
      <c r="I472" s="377" t="s">
        <v>2586</v>
      </c>
      <c r="J472" s="377" t="s">
        <v>2586</v>
      </c>
      <c r="K472" s="377" t="s">
        <v>2586</v>
      </c>
      <c r="L472" s="1"/>
      <c r="M472" s="5"/>
      <c r="N472" s="19">
        <v>2.65</v>
      </c>
      <c r="O472" s="22"/>
      <c r="P472" s="19" t="s">
        <v>2594</v>
      </c>
      <c r="Q472" s="375" t="s">
        <v>81</v>
      </c>
      <c r="R472" s="375"/>
      <c r="S472" s="375"/>
      <c r="T472" s="93"/>
      <c r="U472" s="11"/>
      <c r="V472" s="320">
        <v>0</v>
      </c>
      <c r="W472" s="372" t="str">
        <f>IF(OR(G472="Collectors",G472="Special Pricing",G472="Boutique",G472="leafjoy littles",G472="Premium"),
    IF(V472&gt;0,"Show","Hide"),
    IF(V472 &gt;= _xlfn.XLOOKUP(F472,'Min table'!C$3:C$5,),"Show","Hide")
)</f>
        <v>Hide</v>
      </c>
      <c r="X472" s="342" t="s">
        <v>2614</v>
      </c>
      <c r="Y472" s="342" t="s">
        <v>2586</v>
      </c>
    </row>
    <row r="473" spans="3:25" ht="18.75" hidden="1" x14ac:dyDescent="0.3">
      <c r="C473" s="322"/>
      <c r="D473" s="9"/>
      <c r="E473" s="9"/>
      <c r="F473" s="21" t="s">
        <v>77</v>
      </c>
      <c r="G473" s="20" t="s">
        <v>691</v>
      </c>
      <c r="H473" s="377" t="s">
        <v>2591</v>
      </c>
      <c r="I473" s="377" t="s">
        <v>2587</v>
      </c>
      <c r="J473" s="377" t="s">
        <v>2587</v>
      </c>
      <c r="K473" s="377" t="s">
        <v>2587</v>
      </c>
      <c r="L473" s="1"/>
      <c r="M473" s="5"/>
      <c r="N473" s="19">
        <v>2.65</v>
      </c>
      <c r="O473" s="22"/>
      <c r="P473" s="19" t="s">
        <v>2594</v>
      </c>
      <c r="Q473" s="375" t="s">
        <v>81</v>
      </c>
      <c r="R473" s="375"/>
      <c r="S473" s="375"/>
      <c r="T473" s="93"/>
      <c r="U473" s="11"/>
      <c r="V473" s="320">
        <v>0</v>
      </c>
      <c r="W473" s="372" t="str">
        <f>IF(OR(G473="Collectors",G473="Special Pricing",G473="Boutique",G473="leafjoy littles",G473="Premium"),
    IF(V473&gt;0,"Show","Hide"),
    IF(V473 &gt;= _xlfn.XLOOKUP(F473,'Min table'!C$3:C$5,),"Show","Hide")
)</f>
        <v>Hide</v>
      </c>
      <c r="X473" s="342" t="s">
        <v>2615</v>
      </c>
      <c r="Y473" s="342" t="s">
        <v>2587</v>
      </c>
    </row>
    <row r="474" spans="3:25" ht="18.75" hidden="1" x14ac:dyDescent="0.3">
      <c r="C474" s="322"/>
      <c r="D474" s="9"/>
      <c r="E474" s="9"/>
      <c r="F474" s="21" t="s">
        <v>77</v>
      </c>
      <c r="G474" s="20" t="s">
        <v>691</v>
      </c>
      <c r="H474" s="377" t="s">
        <v>1874</v>
      </c>
      <c r="I474" s="377"/>
      <c r="J474" s="377"/>
      <c r="K474" s="377"/>
      <c r="L474" s="1"/>
      <c r="M474" s="5"/>
      <c r="N474" s="19">
        <v>2.65</v>
      </c>
      <c r="O474" s="22" t="str">
        <f t="shared" ref="O474" si="16">IF(AND(L474="",M474=""),"",(L474*N474)+(M474*(N474+2.1)))</f>
        <v/>
      </c>
      <c r="P474" s="19" t="s">
        <v>2559</v>
      </c>
      <c r="Q474" s="375" t="s">
        <v>81</v>
      </c>
      <c r="R474" s="375"/>
      <c r="S474" s="375"/>
      <c r="T474" s="93"/>
      <c r="U474" s="11"/>
      <c r="V474" s="320">
        <v>0</v>
      </c>
      <c r="W474" s="372" t="str">
        <f>IF(OR(G474="Collectors",G474="Special Pricing",G474="Boutique",G474="leafjoy littles",G474="Premium"),
    IF(V474&gt;0,"Show","Hide"),
    IF(V474 &gt;= _xlfn.XLOOKUP(F474,'Min table'!C$3:C$5,),"Show","Hide")
)</f>
        <v>Hide</v>
      </c>
      <c r="X474" s="342" t="s">
        <v>2124</v>
      </c>
      <c r="Y474" s="342" t="s">
        <v>1874</v>
      </c>
    </row>
    <row r="475" spans="3:25" ht="18.75" hidden="1" x14ac:dyDescent="0.3">
      <c r="C475" s="322"/>
      <c r="D475" s="9"/>
      <c r="E475" s="9"/>
      <c r="F475" s="21" t="s">
        <v>77</v>
      </c>
      <c r="G475" s="20" t="s">
        <v>691</v>
      </c>
      <c r="H475" s="377" t="s">
        <v>720</v>
      </c>
      <c r="I475" s="377"/>
      <c r="J475" s="377" t="s">
        <v>721</v>
      </c>
      <c r="K475" s="377"/>
      <c r="L475" s="1"/>
      <c r="M475" s="5"/>
      <c r="N475" s="19">
        <v>2.65</v>
      </c>
      <c r="O475" s="22" t="str">
        <f t="shared" si="15"/>
        <v/>
      </c>
      <c r="P475" s="19" t="s">
        <v>1862</v>
      </c>
      <c r="Q475" s="375" t="s">
        <v>81</v>
      </c>
      <c r="R475" s="375"/>
      <c r="S475" s="375"/>
      <c r="T475" s="93"/>
      <c r="U475" s="11"/>
      <c r="V475" s="320">
        <v>0</v>
      </c>
      <c r="W475" s="372" t="str">
        <f>IF(OR(G475="Collectors",G475="Special Pricing",G475="Boutique",G475="leafjoy littles",G475="Premium"),
    IF(V475&gt;0,"Show","Hide"),
    IF(V475 &gt;= _xlfn.XLOOKUP(F475,'Min table'!C$3:C$5,),"Show","Hide")
)</f>
        <v>Hide</v>
      </c>
      <c r="X475" s="317" t="s">
        <v>2125</v>
      </c>
      <c r="Y475" s="342" t="s">
        <v>720</v>
      </c>
    </row>
    <row r="476" spans="3:25" ht="18.75" hidden="1" x14ac:dyDescent="0.3">
      <c r="C476" s="322"/>
      <c r="D476" s="9"/>
      <c r="E476" s="9"/>
      <c r="F476" s="21" t="s">
        <v>77</v>
      </c>
      <c r="G476" s="20" t="s">
        <v>691</v>
      </c>
      <c r="H476" s="377" t="s">
        <v>722</v>
      </c>
      <c r="I476" s="377"/>
      <c r="J476" s="377" t="s">
        <v>723</v>
      </c>
      <c r="K476" s="377"/>
      <c r="L476" s="1"/>
      <c r="M476" s="5"/>
      <c r="N476" s="19">
        <v>2.65</v>
      </c>
      <c r="O476" s="22" t="str">
        <f t="shared" si="15"/>
        <v/>
      </c>
      <c r="P476" s="19" t="s">
        <v>1862</v>
      </c>
      <c r="Q476" s="375" t="s">
        <v>81</v>
      </c>
      <c r="R476" s="375"/>
      <c r="S476" s="375"/>
      <c r="T476" s="93"/>
      <c r="U476" s="11"/>
      <c r="V476" s="320">
        <v>0</v>
      </c>
      <c r="W476" s="372" t="str">
        <f>IF(OR(G476="Collectors",G476="Special Pricing",G476="Boutique",G476="leafjoy littles",G476="Premium"),
    IF(V476&gt;0,"Show","Hide"),
    IF(V476 &gt;= _xlfn.XLOOKUP(F476,'Min table'!C$3:C$5,),"Show","Hide")
)</f>
        <v>Hide</v>
      </c>
      <c r="X476" s="342" t="s">
        <v>2126</v>
      </c>
      <c r="Y476" s="342" t="s">
        <v>722</v>
      </c>
    </row>
    <row r="477" spans="3:25" ht="18.75" hidden="1" x14ac:dyDescent="0.3">
      <c r="C477" s="322"/>
      <c r="D477" s="9"/>
      <c r="E477" s="9"/>
      <c r="F477" s="21" t="s">
        <v>77</v>
      </c>
      <c r="G477" s="20" t="s">
        <v>691</v>
      </c>
      <c r="H477" s="377" t="s">
        <v>724</v>
      </c>
      <c r="I477" s="377"/>
      <c r="J477" s="377" t="s">
        <v>725</v>
      </c>
      <c r="K477" s="377"/>
      <c r="L477" s="1"/>
      <c r="M477" s="5"/>
      <c r="N477" s="19">
        <v>2.65</v>
      </c>
      <c r="O477" s="22" t="str">
        <f t="shared" si="15"/>
        <v/>
      </c>
      <c r="P477" s="19" t="s">
        <v>1862</v>
      </c>
      <c r="Q477" s="375" t="s">
        <v>81</v>
      </c>
      <c r="R477" s="375"/>
      <c r="S477" s="375"/>
      <c r="T477" s="93"/>
      <c r="U477" s="11"/>
      <c r="V477" s="320">
        <v>0</v>
      </c>
      <c r="W477" s="372" t="str">
        <f>IF(OR(G477="Collectors",G477="Special Pricing",G477="Boutique",G477="leafjoy littles",G477="Premium"),
    IF(V477&gt;0,"Show","Hide"),
    IF(V477 &gt;= _xlfn.XLOOKUP(F477,'Min table'!C$3:C$5,),"Show","Hide")
)</f>
        <v>Hide</v>
      </c>
      <c r="X477" s="317" t="s">
        <v>2127</v>
      </c>
      <c r="Y477" s="342" t="s">
        <v>724</v>
      </c>
    </row>
    <row r="478" spans="3:25" ht="18.75" hidden="1" x14ac:dyDescent="0.3">
      <c r="C478" s="322"/>
      <c r="D478" s="9"/>
      <c r="E478" s="9"/>
      <c r="F478" s="21" t="s">
        <v>77</v>
      </c>
      <c r="G478" s="20" t="s">
        <v>691</v>
      </c>
      <c r="H478" s="377" t="s">
        <v>726</v>
      </c>
      <c r="I478" s="377"/>
      <c r="J478" s="377" t="s">
        <v>727</v>
      </c>
      <c r="K478" s="377"/>
      <c r="L478" s="1"/>
      <c r="M478" s="5"/>
      <c r="N478" s="19">
        <v>2.65</v>
      </c>
      <c r="O478" s="22" t="str">
        <f t="shared" si="15"/>
        <v/>
      </c>
      <c r="P478" s="19" t="s">
        <v>1862</v>
      </c>
      <c r="Q478" s="375" t="s">
        <v>81</v>
      </c>
      <c r="R478" s="375"/>
      <c r="S478" s="375"/>
      <c r="T478" s="93"/>
      <c r="U478" s="11"/>
      <c r="V478" s="320">
        <v>0</v>
      </c>
      <c r="W478" s="372" t="str">
        <f>IF(OR(G478="Collectors",G478="Special Pricing",G478="Boutique",G478="leafjoy littles",G478="Premium"),
    IF(V478&gt;0,"Show","Hide"),
    IF(V478 &gt;= _xlfn.XLOOKUP(F478,'Min table'!C$3:C$5,),"Show","Hide")
)</f>
        <v>Hide</v>
      </c>
      <c r="X478" s="317" t="s">
        <v>2128</v>
      </c>
      <c r="Y478" s="342" t="s">
        <v>726</v>
      </c>
    </row>
    <row r="479" spans="3:25" ht="18.75" hidden="1" x14ac:dyDescent="0.3">
      <c r="C479" s="322"/>
      <c r="D479" s="9"/>
      <c r="E479" s="9"/>
      <c r="F479" s="21" t="s">
        <v>77</v>
      </c>
      <c r="G479" s="20" t="s">
        <v>691</v>
      </c>
      <c r="H479" s="377" t="s">
        <v>728</v>
      </c>
      <c r="I479" s="377"/>
      <c r="J479" s="377" t="s">
        <v>729</v>
      </c>
      <c r="K479" s="377"/>
      <c r="L479" s="1"/>
      <c r="M479" s="5"/>
      <c r="N479" s="19">
        <v>2.65</v>
      </c>
      <c r="O479" s="22" t="str">
        <f t="shared" si="15"/>
        <v/>
      </c>
      <c r="P479" s="19" t="s">
        <v>1862</v>
      </c>
      <c r="Q479" s="375" t="s">
        <v>81</v>
      </c>
      <c r="R479" s="375"/>
      <c r="S479" s="375"/>
      <c r="T479" s="93"/>
      <c r="U479" s="11"/>
      <c r="V479" s="320">
        <v>0</v>
      </c>
      <c r="W479" s="372" t="str">
        <f>IF(OR(G479="Collectors",G479="Special Pricing",G479="Boutique",G479="leafjoy littles",G479="Premium"),
    IF(V479&gt;0,"Show","Hide"),
    IF(V479 &gt;= _xlfn.XLOOKUP(F479,'Min table'!C$3:C$5,),"Show","Hide")
)</f>
        <v>Hide</v>
      </c>
      <c r="X479" s="317" t="s">
        <v>2129</v>
      </c>
      <c r="Y479" s="342" t="s">
        <v>728</v>
      </c>
    </row>
    <row r="480" spans="3:25" ht="18.75" hidden="1" x14ac:dyDescent="0.3">
      <c r="C480" s="322"/>
      <c r="D480" s="9"/>
      <c r="E480" s="9"/>
      <c r="F480" s="21" t="s">
        <v>77</v>
      </c>
      <c r="G480" s="20" t="s">
        <v>691</v>
      </c>
      <c r="H480" s="377" t="s">
        <v>730</v>
      </c>
      <c r="I480" s="377"/>
      <c r="J480" s="377" t="s">
        <v>731</v>
      </c>
      <c r="K480" s="377"/>
      <c r="L480" s="1"/>
      <c r="M480" s="5"/>
      <c r="N480" s="19">
        <v>2.65</v>
      </c>
      <c r="O480" s="22" t="str">
        <f t="shared" si="15"/>
        <v/>
      </c>
      <c r="P480" s="19" t="s">
        <v>1862</v>
      </c>
      <c r="Q480" s="375" t="s">
        <v>81</v>
      </c>
      <c r="R480" s="375"/>
      <c r="S480" s="375"/>
      <c r="T480" s="93"/>
      <c r="U480" s="11"/>
      <c r="V480" s="320">
        <v>0</v>
      </c>
      <c r="W480" s="372" t="str">
        <f>IF(OR(G480="Collectors",G480="Special Pricing",G480="Boutique",G480="leafjoy littles",G480="Premium"),
    IF(V480&gt;0,"Show","Hide"),
    IF(V480 &gt;= _xlfn.XLOOKUP(F480,'Min table'!C$3:C$5,),"Show","Hide")
)</f>
        <v>Hide</v>
      </c>
      <c r="X480" s="317" t="s">
        <v>2130</v>
      </c>
      <c r="Y480" s="342" t="s">
        <v>730</v>
      </c>
    </row>
    <row r="481" spans="3:25" ht="18.75" hidden="1" x14ac:dyDescent="0.3">
      <c r="C481" s="322"/>
      <c r="D481" s="9"/>
      <c r="E481" s="9"/>
      <c r="F481" s="21" t="s">
        <v>77</v>
      </c>
      <c r="G481" s="20" t="s">
        <v>691</v>
      </c>
      <c r="H481" s="377" t="s">
        <v>732</v>
      </c>
      <c r="I481" s="377"/>
      <c r="J481" s="377" t="s">
        <v>733</v>
      </c>
      <c r="K481" s="377"/>
      <c r="L481" s="1"/>
      <c r="M481" s="5"/>
      <c r="N481" s="19">
        <v>2.65</v>
      </c>
      <c r="O481" s="22" t="str">
        <f t="shared" si="15"/>
        <v/>
      </c>
      <c r="P481" s="19" t="s">
        <v>734</v>
      </c>
      <c r="Q481" s="375" t="s">
        <v>81</v>
      </c>
      <c r="R481" s="375"/>
      <c r="S481" s="375"/>
      <c r="T481" s="93"/>
      <c r="U481" s="11"/>
      <c r="V481" s="320">
        <v>0</v>
      </c>
      <c r="W481" s="372" t="str">
        <f>IF(OR(G481="Collectors",G481="Special Pricing",G481="Boutique",G481="leafjoy littles",G481="Premium"),
    IF(V481&gt;0,"Show","Hide"),
    IF(V481 &gt;= _xlfn.XLOOKUP(F481,'Min table'!C$3:C$5,),"Show","Hide")
)</f>
        <v>Hide</v>
      </c>
      <c r="X481" s="342" t="s">
        <v>2131</v>
      </c>
      <c r="Y481" s="342" t="s">
        <v>732</v>
      </c>
    </row>
    <row r="482" spans="3:25" ht="18.75" hidden="1" x14ac:dyDescent="0.3">
      <c r="C482" s="322"/>
      <c r="D482" s="9"/>
      <c r="E482" s="9"/>
      <c r="F482" s="21" t="s">
        <v>77</v>
      </c>
      <c r="G482" s="20" t="s">
        <v>691</v>
      </c>
      <c r="H482" s="377" t="s">
        <v>735</v>
      </c>
      <c r="I482" s="377"/>
      <c r="J482" s="377" t="s">
        <v>736</v>
      </c>
      <c r="K482" s="377"/>
      <c r="L482" s="1"/>
      <c r="M482" s="5"/>
      <c r="N482" s="19">
        <v>2.65</v>
      </c>
      <c r="O482" s="22" t="str">
        <f t="shared" si="15"/>
        <v/>
      </c>
      <c r="P482" s="19" t="s">
        <v>737</v>
      </c>
      <c r="Q482" s="375" t="s">
        <v>81</v>
      </c>
      <c r="R482" s="375"/>
      <c r="S482" s="375"/>
      <c r="T482" s="93"/>
      <c r="U482" s="11"/>
      <c r="V482" s="320">
        <v>23</v>
      </c>
      <c r="W482" s="372" t="str">
        <f>IF(OR(G482="Collectors",G482="Special Pricing",G482="Boutique",G482="leafjoy littles",G482="Premium"),
    IF(V482&gt;0,"Show","Hide"),
    IF(V482 &gt;= _xlfn.XLOOKUP(F482,'Min table'!C$3:C$5,),"Show","Hide")
)</f>
        <v>Show</v>
      </c>
      <c r="X482" s="342" t="s">
        <v>2132</v>
      </c>
      <c r="Y482" s="342" t="s">
        <v>735</v>
      </c>
    </row>
    <row r="483" spans="3:25" ht="18.75" hidden="1" x14ac:dyDescent="0.3">
      <c r="C483" s="322"/>
      <c r="D483" s="9"/>
      <c r="E483" s="9"/>
      <c r="F483" s="21" t="s">
        <v>77</v>
      </c>
      <c r="G483" s="20" t="s">
        <v>691</v>
      </c>
      <c r="H483" s="377" t="s">
        <v>738</v>
      </c>
      <c r="I483" s="377"/>
      <c r="J483" s="377" t="s">
        <v>739</v>
      </c>
      <c r="K483" s="377"/>
      <c r="L483" s="1"/>
      <c r="M483" s="5"/>
      <c r="N483" s="19">
        <v>2.65</v>
      </c>
      <c r="O483" s="22" t="str">
        <f t="shared" si="15"/>
        <v/>
      </c>
      <c r="P483" s="19" t="s">
        <v>448</v>
      </c>
      <c r="Q483" s="375" t="s">
        <v>81</v>
      </c>
      <c r="R483" s="375"/>
      <c r="S483" s="375"/>
      <c r="T483" s="93"/>
      <c r="U483" s="11"/>
      <c r="V483" s="320">
        <v>0</v>
      </c>
      <c r="W483" s="372" t="str">
        <f>IF(OR(G483="Collectors",G483="Special Pricing",G483="Boutique",G483="leafjoy littles",G483="Premium"),
    IF(V483&gt;0,"Show","Hide"),
    IF(V483 &gt;= _xlfn.XLOOKUP(F483,'Min table'!C$3:C$5,),"Show","Hide")
)</f>
        <v>Hide</v>
      </c>
      <c r="X483" s="342" t="s">
        <v>2133</v>
      </c>
      <c r="Y483" s="342" t="s">
        <v>738</v>
      </c>
    </row>
    <row r="484" spans="3:25" ht="18.75" hidden="1" x14ac:dyDescent="0.3">
      <c r="C484" s="322"/>
      <c r="D484" s="9"/>
      <c r="E484" s="9"/>
      <c r="F484" s="21" t="s">
        <v>77</v>
      </c>
      <c r="G484" s="20" t="s">
        <v>691</v>
      </c>
      <c r="H484" s="377" t="s">
        <v>740</v>
      </c>
      <c r="I484" s="377"/>
      <c r="J484" s="377" t="s">
        <v>741</v>
      </c>
      <c r="K484" s="377"/>
      <c r="L484" s="1"/>
      <c r="M484" s="5"/>
      <c r="N484" s="19">
        <v>2.65</v>
      </c>
      <c r="O484" s="22" t="str">
        <f t="shared" si="15"/>
        <v/>
      </c>
      <c r="P484" s="19" t="s">
        <v>448</v>
      </c>
      <c r="Q484" s="375" t="s">
        <v>81</v>
      </c>
      <c r="R484" s="375"/>
      <c r="S484" s="375"/>
      <c r="T484" s="93"/>
      <c r="U484" s="11"/>
      <c r="V484" s="320">
        <v>31</v>
      </c>
      <c r="W484" s="372" t="str">
        <f>IF(OR(G484="Collectors",G484="Special Pricing",G484="Boutique",G484="leafjoy littles",G484="Premium"),
    IF(V484&gt;0,"Show","Hide"),
    IF(V484 &gt;= _xlfn.XLOOKUP(F484,'Min table'!C$3:C$5,),"Show","Hide")
)</f>
        <v>Show</v>
      </c>
      <c r="X484" s="317" t="s">
        <v>2134</v>
      </c>
      <c r="Y484" s="342" t="s">
        <v>740</v>
      </c>
    </row>
    <row r="485" spans="3:25" ht="18.75" hidden="1" x14ac:dyDescent="0.3">
      <c r="C485" s="322"/>
      <c r="D485" s="9"/>
      <c r="E485" s="9"/>
      <c r="F485" s="21" t="s">
        <v>77</v>
      </c>
      <c r="G485" s="20" t="s">
        <v>691</v>
      </c>
      <c r="H485" s="377" t="s">
        <v>2794</v>
      </c>
      <c r="I485" s="377"/>
      <c r="J485" s="377" t="s">
        <v>741</v>
      </c>
      <c r="K485" s="377"/>
      <c r="L485" s="1"/>
      <c r="M485" s="5"/>
      <c r="N485" s="19">
        <v>2.65</v>
      </c>
      <c r="O485" s="22" t="str">
        <f t="shared" si="15"/>
        <v/>
      </c>
      <c r="P485" s="19" t="s">
        <v>1862</v>
      </c>
      <c r="Q485" s="375" t="s">
        <v>81</v>
      </c>
      <c r="R485" s="375"/>
      <c r="S485" s="375"/>
      <c r="T485" s="93"/>
      <c r="U485" s="11"/>
      <c r="V485" s="320">
        <v>32</v>
      </c>
      <c r="W485" s="372" t="str">
        <f>IF(OR(G485="Collectors",G485="Special Pricing",G485="Boutique",G485="leafjoy littles",G485="Premium"),
    IF(V485&gt;0,"Show","Hide"),
    IF(V485 &gt;= _xlfn.XLOOKUP(F485,'Min table'!C$3:C$5,),"Show","Hide")
)</f>
        <v>Show</v>
      </c>
      <c r="Y485" s="342"/>
    </row>
    <row r="486" spans="3:25" ht="18.75" hidden="1" x14ac:dyDescent="0.3">
      <c r="C486" s="322"/>
      <c r="D486" s="9"/>
      <c r="E486" s="9"/>
      <c r="F486" s="21" t="s">
        <v>77</v>
      </c>
      <c r="G486" s="20" t="s">
        <v>691</v>
      </c>
      <c r="H486" s="377" t="s">
        <v>742</v>
      </c>
      <c r="I486" s="377"/>
      <c r="J486" s="377" t="s">
        <v>743</v>
      </c>
      <c r="K486" s="377"/>
      <c r="L486" s="1"/>
      <c r="M486" s="5"/>
      <c r="N486" s="19">
        <v>2.65</v>
      </c>
      <c r="O486" s="22" t="str">
        <f t="shared" si="15"/>
        <v/>
      </c>
      <c r="P486" s="19" t="s">
        <v>349</v>
      </c>
      <c r="Q486" s="375" t="s">
        <v>81</v>
      </c>
      <c r="R486" s="375"/>
      <c r="S486" s="375"/>
      <c r="T486" s="93"/>
      <c r="U486" s="11"/>
      <c r="V486" s="320">
        <v>0</v>
      </c>
      <c r="W486" s="372" t="str">
        <f>IF(OR(G486="Collectors",G486="Special Pricing",G486="Boutique",G486="leafjoy littles",G486="Premium"),
    IF(V486&gt;0,"Show","Hide"),
    IF(V486 &gt;= _xlfn.XLOOKUP(F486,'Min table'!C$3:C$5,),"Show","Hide")
)</f>
        <v>Hide</v>
      </c>
      <c r="X486" s="342" t="s">
        <v>2135</v>
      </c>
      <c r="Y486" s="342" t="s">
        <v>742</v>
      </c>
    </row>
    <row r="487" spans="3:25" ht="18.75" hidden="1" x14ac:dyDescent="0.3">
      <c r="C487" s="322"/>
      <c r="D487" s="9"/>
      <c r="E487" s="9"/>
      <c r="F487" s="21" t="s">
        <v>77</v>
      </c>
      <c r="G487" s="20" t="s">
        <v>691</v>
      </c>
      <c r="H487" s="377" t="s">
        <v>744</v>
      </c>
      <c r="I487" s="377"/>
      <c r="J487" s="377" t="s">
        <v>745</v>
      </c>
      <c r="K487" s="377"/>
      <c r="L487" s="1"/>
      <c r="M487" s="5"/>
      <c r="N487" s="19">
        <v>2.65</v>
      </c>
      <c r="O487" s="22" t="str">
        <f t="shared" si="15"/>
        <v/>
      </c>
      <c r="P487" s="19" t="s">
        <v>746</v>
      </c>
      <c r="Q487" s="375" t="s">
        <v>81</v>
      </c>
      <c r="R487" s="375"/>
      <c r="S487" s="375"/>
      <c r="T487" s="93"/>
      <c r="U487" s="11"/>
      <c r="V487" s="320">
        <v>0</v>
      </c>
      <c r="W487" s="372" t="str">
        <f>IF(OR(G487="Collectors",G487="Special Pricing",G487="Boutique",G487="leafjoy littles",G487="Premium"),
    IF(V487&gt;0,"Show","Hide"),
    IF(V487 &gt;= _xlfn.XLOOKUP(F487,'Min table'!C$3:C$5,),"Show","Hide")
)</f>
        <v>Hide</v>
      </c>
      <c r="X487" s="342" t="s">
        <v>2136</v>
      </c>
      <c r="Y487" s="342" t="s">
        <v>744</v>
      </c>
    </row>
    <row r="488" spans="3:25" ht="18.75" hidden="1" x14ac:dyDescent="0.3">
      <c r="C488" s="322"/>
      <c r="D488" s="9"/>
      <c r="E488" s="9"/>
      <c r="F488" s="21" t="s">
        <v>77</v>
      </c>
      <c r="G488" s="20" t="s">
        <v>691</v>
      </c>
      <c r="H488" s="377" t="s">
        <v>747</v>
      </c>
      <c r="I488" s="377"/>
      <c r="J488" s="377" t="s">
        <v>748</v>
      </c>
      <c r="K488" s="377"/>
      <c r="L488" s="1"/>
      <c r="M488" s="5"/>
      <c r="N488" s="19">
        <v>2.65</v>
      </c>
      <c r="O488" s="22" t="str">
        <f t="shared" si="15"/>
        <v/>
      </c>
      <c r="P488" s="19" t="s">
        <v>349</v>
      </c>
      <c r="Q488" s="375" t="s">
        <v>81</v>
      </c>
      <c r="R488" s="375"/>
      <c r="S488" s="375"/>
      <c r="T488" s="93"/>
      <c r="U488" s="11"/>
      <c r="V488" s="320">
        <v>0</v>
      </c>
      <c r="W488" s="372" t="str">
        <f>IF(OR(G488="Collectors",G488="Special Pricing",G488="Boutique",G488="leafjoy littles",G488="Premium"),
    IF(V488&gt;0,"Show","Hide"),
    IF(V488 &gt;= _xlfn.XLOOKUP(F488,'Min table'!C$3:C$5,),"Show","Hide")
)</f>
        <v>Hide</v>
      </c>
      <c r="X488" s="342" t="s">
        <v>2137</v>
      </c>
      <c r="Y488" s="342" t="s">
        <v>747</v>
      </c>
    </row>
    <row r="489" spans="3:25" ht="18.75" hidden="1" x14ac:dyDescent="0.3">
      <c r="C489" s="322"/>
      <c r="D489" s="9"/>
      <c r="E489" s="9"/>
      <c r="F489" s="21" t="s">
        <v>77</v>
      </c>
      <c r="G489" s="20" t="s">
        <v>691</v>
      </c>
      <c r="H489" s="377" t="s">
        <v>749</v>
      </c>
      <c r="I489" s="377"/>
      <c r="J489" s="377" t="s">
        <v>750</v>
      </c>
      <c r="K489" s="377"/>
      <c r="L489" s="1"/>
      <c r="M489" s="5"/>
      <c r="N489" s="19">
        <v>2.65</v>
      </c>
      <c r="O489" s="22" t="str">
        <f t="shared" si="15"/>
        <v/>
      </c>
      <c r="P489" s="19" t="s">
        <v>349</v>
      </c>
      <c r="Q489" s="375" t="s">
        <v>81</v>
      </c>
      <c r="R489" s="375"/>
      <c r="S489" s="375"/>
      <c r="T489" s="93"/>
      <c r="U489" s="11"/>
      <c r="V489" s="320">
        <v>10</v>
      </c>
      <c r="W489" s="372" t="str">
        <f>IF(OR(G489="Collectors",G489="Special Pricing",G489="Boutique",G489="leafjoy littles",G489="Premium"),
    IF(V489&gt;0,"Show","Hide"),
    IF(V489 &gt;= _xlfn.XLOOKUP(F489,'Min table'!C$3:C$5,),"Show","Hide")
)</f>
        <v>Show</v>
      </c>
      <c r="X489" s="342" t="s">
        <v>2138</v>
      </c>
      <c r="Y489" s="342" t="s">
        <v>749</v>
      </c>
    </row>
    <row r="490" spans="3:25" ht="18.75" hidden="1" x14ac:dyDescent="0.3">
      <c r="C490" s="322"/>
      <c r="D490" s="9"/>
      <c r="E490" s="9"/>
      <c r="F490" s="21" t="s">
        <v>77</v>
      </c>
      <c r="G490" s="20" t="s">
        <v>691</v>
      </c>
      <c r="H490" s="414" t="s">
        <v>2776</v>
      </c>
      <c r="I490" s="414"/>
      <c r="J490" s="414"/>
      <c r="K490" s="414"/>
      <c r="L490" s="1"/>
      <c r="M490" s="5"/>
      <c r="N490" s="19">
        <v>2.65</v>
      </c>
      <c r="O490" s="22"/>
      <c r="P490" s="19" t="s">
        <v>1862</v>
      </c>
      <c r="Q490" s="375" t="s">
        <v>81</v>
      </c>
      <c r="R490" s="375"/>
      <c r="S490" s="375"/>
      <c r="T490" s="93"/>
      <c r="U490" s="11"/>
      <c r="V490" s="320">
        <v>0</v>
      </c>
      <c r="W490" s="372" t="str">
        <f>IF(OR(G490="Collectors",G490="Special Pricing",G490="Boutique",G490="leafjoy littles",G490="Premium"),
    IF(V490&gt;0,"Show","Hide"),
    IF(V490 &gt;= _xlfn.XLOOKUP(F490,'Min table'!C$3:C$5,),"Show","Hide")
)</f>
        <v>Hide</v>
      </c>
      <c r="X490" s="342"/>
      <c r="Y490" s="342"/>
    </row>
    <row r="491" spans="3:25" ht="18.75" hidden="1" x14ac:dyDescent="0.3">
      <c r="C491" s="322"/>
      <c r="D491" s="9"/>
      <c r="E491" s="9"/>
      <c r="F491" s="21" t="s">
        <v>77</v>
      </c>
      <c r="G491" s="20" t="s">
        <v>691</v>
      </c>
      <c r="H491" s="399" t="s">
        <v>1857</v>
      </c>
      <c r="I491" s="399"/>
      <c r="J491" s="399"/>
      <c r="K491" s="399"/>
      <c r="L491" s="1"/>
      <c r="M491" s="5"/>
      <c r="N491" s="19">
        <v>2.65</v>
      </c>
      <c r="O491" s="22" t="str">
        <f t="shared" si="15"/>
        <v/>
      </c>
      <c r="P491" s="19" t="s">
        <v>751</v>
      </c>
      <c r="Q491" s="375" t="s">
        <v>81</v>
      </c>
      <c r="R491" s="375"/>
      <c r="S491" s="375"/>
      <c r="T491" s="93"/>
      <c r="U491" s="11"/>
      <c r="V491" s="320">
        <v>0</v>
      </c>
      <c r="W491" s="372" t="str">
        <f>IF(OR(G491="Collectors",G491="Special Pricing",G491="Boutique",G491="leafjoy littles",G491="Premium"),
    IF(V491&gt;0,"Show","Hide"),
    IF(V491 &gt;= _xlfn.XLOOKUP(F491,'Min table'!C$3:C$5,),"Show","Hide")
)</f>
        <v>Hide</v>
      </c>
      <c r="X491" s="342" t="s">
        <v>2139</v>
      </c>
      <c r="Y491" s="342" t="s">
        <v>1857</v>
      </c>
    </row>
    <row r="492" spans="3:25" ht="18.75" hidden="1" x14ac:dyDescent="0.3">
      <c r="C492" s="322"/>
      <c r="D492" s="9"/>
      <c r="E492" s="9"/>
      <c r="F492" s="21" t="s">
        <v>77</v>
      </c>
      <c r="G492" s="20" t="s">
        <v>691</v>
      </c>
      <c r="H492" s="399" t="s">
        <v>752</v>
      </c>
      <c r="I492" s="399"/>
      <c r="J492" s="399" t="s">
        <v>753</v>
      </c>
      <c r="K492" s="399"/>
      <c r="L492" s="1"/>
      <c r="M492" s="5"/>
      <c r="N492" s="19">
        <v>2.65</v>
      </c>
      <c r="O492" s="22" t="str">
        <f t="shared" si="15"/>
        <v/>
      </c>
      <c r="P492" s="19" t="s">
        <v>754</v>
      </c>
      <c r="Q492" s="375" t="s">
        <v>81</v>
      </c>
      <c r="R492" s="375"/>
      <c r="S492" s="375"/>
      <c r="T492" s="93"/>
      <c r="U492" s="11"/>
      <c r="V492" s="320">
        <v>42</v>
      </c>
      <c r="W492" s="372" t="str">
        <f>IF(OR(G492="Collectors",G492="Special Pricing",G492="Boutique",G492="leafjoy littles",G492="Premium"),
    IF(V492&gt;0,"Show","Hide"),
    IF(V492 &gt;= _xlfn.XLOOKUP(F492,'Min table'!C$3:C$5,),"Show","Hide")
)</f>
        <v>Show</v>
      </c>
      <c r="X492" s="342" t="s">
        <v>2140</v>
      </c>
      <c r="Y492" s="342" t="s">
        <v>752</v>
      </c>
    </row>
    <row r="493" spans="3:25" ht="18.75" hidden="1" x14ac:dyDescent="0.3">
      <c r="C493" s="322"/>
      <c r="D493" s="9"/>
      <c r="E493" s="9"/>
      <c r="F493" s="21" t="s">
        <v>77</v>
      </c>
      <c r="G493" s="20" t="s">
        <v>691</v>
      </c>
      <c r="H493" s="399" t="s">
        <v>1858</v>
      </c>
      <c r="I493" s="399"/>
      <c r="J493" s="399"/>
      <c r="K493" s="399"/>
      <c r="L493" s="1"/>
      <c r="M493" s="5"/>
      <c r="N493" s="19">
        <v>2.65</v>
      </c>
      <c r="O493" s="22" t="str">
        <f t="shared" si="15"/>
        <v/>
      </c>
      <c r="P493" s="19" t="s">
        <v>751</v>
      </c>
      <c r="Q493" s="375" t="s">
        <v>81</v>
      </c>
      <c r="R493" s="375"/>
      <c r="S493" s="375"/>
      <c r="T493" s="93"/>
      <c r="U493" s="11"/>
      <c r="V493" s="320">
        <v>0</v>
      </c>
      <c r="W493" s="372" t="str">
        <f>IF(OR(G493="Collectors",G493="Special Pricing",G493="Boutique",G493="leafjoy littles",G493="Premium"),
    IF(V493&gt;0,"Show","Hide"),
    IF(V493 &gt;= _xlfn.XLOOKUP(F493,'Min table'!C$3:C$5,),"Show","Hide")
)</f>
        <v>Hide</v>
      </c>
      <c r="X493" s="342" t="s">
        <v>2141</v>
      </c>
      <c r="Y493" s="342" t="s">
        <v>1858</v>
      </c>
    </row>
    <row r="494" spans="3:25" ht="18.75" hidden="1" x14ac:dyDescent="0.3">
      <c r="C494" s="322"/>
      <c r="D494" s="9"/>
      <c r="E494" s="9"/>
      <c r="F494" s="21" t="s">
        <v>77</v>
      </c>
      <c r="G494" s="20" t="s">
        <v>691</v>
      </c>
      <c r="H494" s="399" t="s">
        <v>755</v>
      </c>
      <c r="I494" s="399"/>
      <c r="J494" s="399" t="s">
        <v>756</v>
      </c>
      <c r="K494" s="399"/>
      <c r="L494" s="1"/>
      <c r="M494" s="5"/>
      <c r="N494" s="19">
        <v>2.65</v>
      </c>
      <c r="O494" s="22" t="str">
        <f t="shared" si="15"/>
        <v/>
      </c>
      <c r="P494" s="19" t="s">
        <v>757</v>
      </c>
      <c r="Q494" s="375" t="s">
        <v>81</v>
      </c>
      <c r="R494" s="375"/>
      <c r="S494" s="375"/>
      <c r="T494" s="93"/>
      <c r="U494" s="11"/>
      <c r="V494" s="320">
        <v>0</v>
      </c>
      <c r="W494" s="372" t="str">
        <f>IF(OR(G494="Collectors",G494="Special Pricing",G494="Boutique",G494="leafjoy littles",G494="Premium"),
    IF(V494&gt;0,"Show","Hide"),
    IF(V494 &gt;= _xlfn.XLOOKUP(F494,'Min table'!C$3:C$5,),"Show","Hide")
)</f>
        <v>Hide</v>
      </c>
      <c r="X494" s="342" t="s">
        <v>2142</v>
      </c>
      <c r="Y494" s="342" t="s">
        <v>755</v>
      </c>
    </row>
    <row r="495" spans="3:25" ht="18.75" hidden="1" x14ac:dyDescent="0.3">
      <c r="C495" s="322"/>
      <c r="D495" s="9"/>
      <c r="E495" s="9"/>
      <c r="F495" s="21" t="s">
        <v>77</v>
      </c>
      <c r="G495" s="20" t="s">
        <v>691</v>
      </c>
      <c r="H495" s="377" t="s">
        <v>758</v>
      </c>
      <c r="I495" s="377"/>
      <c r="J495" s="377" t="s">
        <v>759</v>
      </c>
      <c r="K495" s="377"/>
      <c r="L495" s="1"/>
      <c r="M495" s="5"/>
      <c r="N495" s="19">
        <v>2.65</v>
      </c>
      <c r="O495" s="22" t="str">
        <f t="shared" si="15"/>
        <v/>
      </c>
      <c r="P495" s="19" t="s">
        <v>349</v>
      </c>
      <c r="Q495" s="375" t="s">
        <v>81</v>
      </c>
      <c r="R495" s="375"/>
      <c r="S495" s="375"/>
      <c r="T495" s="93"/>
      <c r="U495" s="11"/>
      <c r="V495" s="320">
        <v>0</v>
      </c>
      <c r="W495" s="372" t="str">
        <f>IF(OR(G495="Collectors",G495="Special Pricing",G495="Boutique",G495="leafjoy littles",G495="Premium"),
    IF(V495&gt;0,"Show","Hide"),
    IF(V495 &gt;= _xlfn.XLOOKUP(F495,'Min table'!C$3:C$5,),"Show","Hide")
)</f>
        <v>Hide</v>
      </c>
      <c r="X495" s="342" t="s">
        <v>2143</v>
      </c>
      <c r="Y495" s="342" t="s">
        <v>758</v>
      </c>
    </row>
    <row r="496" spans="3:25" ht="18.75" hidden="1" x14ac:dyDescent="0.3">
      <c r="C496" s="322"/>
      <c r="D496" s="9"/>
      <c r="E496" s="9"/>
      <c r="F496" s="21" t="s">
        <v>77</v>
      </c>
      <c r="G496" s="20" t="s">
        <v>691</v>
      </c>
      <c r="H496" s="377" t="s">
        <v>760</v>
      </c>
      <c r="I496" s="377"/>
      <c r="J496" s="377" t="s">
        <v>761</v>
      </c>
      <c r="K496" s="377"/>
      <c r="L496" s="1"/>
      <c r="M496" s="5"/>
      <c r="N496" s="19">
        <v>2.65</v>
      </c>
      <c r="O496" s="22" t="str">
        <f t="shared" si="15"/>
        <v/>
      </c>
      <c r="P496" s="19" t="s">
        <v>349</v>
      </c>
      <c r="Q496" s="375" t="s">
        <v>81</v>
      </c>
      <c r="R496" s="375"/>
      <c r="S496" s="375"/>
      <c r="T496" s="93"/>
      <c r="U496" s="11"/>
      <c r="V496" s="320">
        <v>0</v>
      </c>
      <c r="W496" s="372" t="str">
        <f>IF(OR(G496="Collectors",G496="Special Pricing",G496="Boutique",G496="leafjoy littles",G496="Premium"),
    IF(V496&gt;0,"Show","Hide"),
    IF(V496 &gt;= _xlfn.XLOOKUP(F496,'Min table'!C$3:C$5,),"Show","Hide")
)</f>
        <v>Hide</v>
      </c>
      <c r="X496" s="342" t="s">
        <v>2144</v>
      </c>
      <c r="Y496" s="342" t="s">
        <v>760</v>
      </c>
    </row>
    <row r="497" spans="3:25" ht="18.75" hidden="1" x14ac:dyDescent="0.3">
      <c r="C497" s="322"/>
      <c r="D497" s="9"/>
      <c r="E497" s="9"/>
      <c r="F497" s="21" t="s">
        <v>77</v>
      </c>
      <c r="G497" s="20" t="s">
        <v>691</v>
      </c>
      <c r="H497" s="377" t="s">
        <v>762</v>
      </c>
      <c r="I497" s="377"/>
      <c r="J497" s="377" t="s">
        <v>763</v>
      </c>
      <c r="K497" s="377"/>
      <c r="L497" s="1"/>
      <c r="M497" s="5"/>
      <c r="N497" s="19">
        <v>2.65</v>
      </c>
      <c r="O497" s="22" t="str">
        <f t="shared" si="15"/>
        <v/>
      </c>
      <c r="P497" s="19" t="s">
        <v>349</v>
      </c>
      <c r="Q497" s="375" t="s">
        <v>81</v>
      </c>
      <c r="R497" s="375"/>
      <c r="S497" s="375"/>
      <c r="T497" s="93"/>
      <c r="U497" s="11"/>
      <c r="V497" s="320">
        <v>0</v>
      </c>
      <c r="W497" s="372" t="str">
        <f>IF(OR(G497="Collectors",G497="Special Pricing",G497="Boutique",G497="leafjoy littles",G497="Premium"),
    IF(V497&gt;0,"Show","Hide"),
    IF(V497 &gt;= _xlfn.XLOOKUP(F497,'Min table'!C$3:C$5,),"Show","Hide")
)</f>
        <v>Hide</v>
      </c>
      <c r="X497" s="342" t="s">
        <v>2145</v>
      </c>
      <c r="Y497" s="342" t="s">
        <v>762</v>
      </c>
    </row>
    <row r="498" spans="3:25" ht="18.75" hidden="1" x14ac:dyDescent="0.3">
      <c r="C498" s="322"/>
      <c r="D498" s="9"/>
      <c r="E498" s="9"/>
      <c r="F498" s="21" t="s">
        <v>77</v>
      </c>
      <c r="G498" s="20" t="s">
        <v>691</v>
      </c>
      <c r="H498" s="377" t="s">
        <v>764</v>
      </c>
      <c r="I498" s="377"/>
      <c r="J498" s="377" t="s">
        <v>765</v>
      </c>
      <c r="K498" s="377"/>
      <c r="L498" s="1"/>
      <c r="M498" s="5"/>
      <c r="N498" s="19">
        <v>2.65</v>
      </c>
      <c r="O498" s="22" t="str">
        <f t="shared" si="15"/>
        <v/>
      </c>
      <c r="P498" s="19" t="s">
        <v>349</v>
      </c>
      <c r="Q498" s="375" t="s">
        <v>81</v>
      </c>
      <c r="R498" s="375"/>
      <c r="S498" s="375"/>
      <c r="T498" s="93"/>
      <c r="U498" s="11"/>
      <c r="V498" s="320">
        <v>0</v>
      </c>
      <c r="W498" s="372" t="str">
        <f>IF(OR(G498="Collectors",G498="Special Pricing",G498="Boutique",G498="leafjoy littles",G498="Premium"),
    IF(V498&gt;0,"Show","Hide"),
    IF(V498 &gt;= _xlfn.XLOOKUP(F498,'Min table'!C$3:C$5,),"Show","Hide")
)</f>
        <v>Hide</v>
      </c>
      <c r="X498" s="342" t="s">
        <v>2146</v>
      </c>
      <c r="Y498" s="342" t="s">
        <v>764</v>
      </c>
    </row>
    <row r="499" spans="3:25" ht="18.75" hidden="1" x14ac:dyDescent="0.3">
      <c r="C499" s="322"/>
      <c r="D499" s="9"/>
      <c r="E499" s="9"/>
      <c r="F499" s="21" t="s">
        <v>77</v>
      </c>
      <c r="G499" s="20" t="s">
        <v>691</v>
      </c>
      <c r="H499" s="377" t="s">
        <v>766</v>
      </c>
      <c r="I499" s="377"/>
      <c r="J499" s="377" t="s">
        <v>767</v>
      </c>
      <c r="K499" s="377"/>
      <c r="L499" s="1"/>
      <c r="M499" s="5"/>
      <c r="N499" s="19">
        <v>2.65</v>
      </c>
      <c r="O499" s="22" t="str">
        <f t="shared" si="15"/>
        <v/>
      </c>
      <c r="P499" s="19" t="s">
        <v>768</v>
      </c>
      <c r="Q499" s="375" t="s">
        <v>81</v>
      </c>
      <c r="R499" s="375"/>
      <c r="S499" s="375"/>
      <c r="T499" s="93"/>
      <c r="U499" s="11"/>
      <c r="V499" s="320">
        <v>0</v>
      </c>
      <c r="W499" s="372" t="str">
        <f>IF(OR(G499="Collectors",G499="Special Pricing",G499="Boutique",G499="leafjoy littles",G499="Premium"),
    IF(V499&gt;0,"Show","Hide"),
    IF(V499 &gt;= _xlfn.XLOOKUP(F499,'Min table'!C$3:C$5,),"Show","Hide")
)</f>
        <v>Hide</v>
      </c>
      <c r="X499" s="342" t="s">
        <v>2147</v>
      </c>
      <c r="Y499" s="342" t="s">
        <v>766</v>
      </c>
    </row>
    <row r="500" spans="3:25" ht="18.75" hidden="1" x14ac:dyDescent="0.3">
      <c r="C500" s="322"/>
      <c r="D500" s="9"/>
      <c r="E500" s="9"/>
      <c r="F500" s="21" t="s">
        <v>77</v>
      </c>
      <c r="G500" s="20" t="s">
        <v>691</v>
      </c>
      <c r="H500" s="377" t="s">
        <v>769</v>
      </c>
      <c r="I500" s="377"/>
      <c r="J500" s="377" t="s">
        <v>770</v>
      </c>
      <c r="K500" s="377"/>
      <c r="L500" s="1"/>
      <c r="M500" s="5"/>
      <c r="N500" s="19">
        <v>2.65</v>
      </c>
      <c r="O500" s="22" t="str">
        <f t="shared" si="15"/>
        <v/>
      </c>
      <c r="P500" s="19" t="s">
        <v>771</v>
      </c>
      <c r="Q500" s="375" t="s">
        <v>81</v>
      </c>
      <c r="R500" s="375"/>
      <c r="S500" s="375"/>
      <c r="T500" s="93"/>
      <c r="U500" s="11"/>
      <c r="V500" s="320">
        <v>0</v>
      </c>
      <c r="W500" s="372" t="str">
        <f>IF(OR(G500="Collectors",G500="Special Pricing",G500="Boutique",G500="leafjoy littles",G500="Premium"),
    IF(V500&gt;0,"Show","Hide"),
    IF(V500 &gt;= _xlfn.XLOOKUP(F500,'Min table'!C$3:C$5,),"Show","Hide")
)</f>
        <v>Hide</v>
      </c>
      <c r="X500" s="342" t="s">
        <v>2148</v>
      </c>
      <c r="Y500" s="342" t="s">
        <v>769</v>
      </c>
    </row>
    <row r="501" spans="3:25" ht="18.75" hidden="1" x14ac:dyDescent="0.3">
      <c r="C501" s="322"/>
      <c r="D501" s="9"/>
      <c r="E501" s="9"/>
      <c r="F501" s="21" t="s">
        <v>77</v>
      </c>
      <c r="G501" s="20" t="s">
        <v>691</v>
      </c>
      <c r="H501" s="377" t="s">
        <v>772</v>
      </c>
      <c r="I501" s="377"/>
      <c r="J501" s="377" t="s">
        <v>773</v>
      </c>
      <c r="K501" s="377"/>
      <c r="L501" s="1"/>
      <c r="M501" s="5"/>
      <c r="N501" s="19">
        <v>2.65</v>
      </c>
      <c r="O501" s="22" t="str">
        <f t="shared" si="15"/>
        <v/>
      </c>
      <c r="P501" s="19" t="s">
        <v>774</v>
      </c>
      <c r="Q501" s="375" t="s">
        <v>81</v>
      </c>
      <c r="R501" s="375"/>
      <c r="S501" s="375"/>
      <c r="T501" s="93"/>
      <c r="U501" s="11"/>
      <c r="V501" s="320">
        <v>0</v>
      </c>
      <c r="W501" s="372" t="str">
        <f>IF(OR(G501="Collectors",G501="Special Pricing",G501="Boutique",G501="leafjoy littles",G501="Premium"),
    IF(V501&gt;0,"Show","Hide"),
    IF(V501 &gt;= _xlfn.XLOOKUP(F501,'Min table'!C$3:C$5,),"Show","Hide")
)</f>
        <v>Hide</v>
      </c>
      <c r="X501" s="342" t="s">
        <v>2149</v>
      </c>
      <c r="Y501" s="342" t="s">
        <v>772</v>
      </c>
    </row>
    <row r="502" spans="3:25" ht="18.75" hidden="1" x14ac:dyDescent="0.3">
      <c r="C502" s="322"/>
      <c r="D502" s="9"/>
      <c r="E502" s="9"/>
      <c r="F502" s="21" t="s">
        <v>77</v>
      </c>
      <c r="G502" s="20" t="s">
        <v>691</v>
      </c>
      <c r="H502" s="377" t="s">
        <v>1889</v>
      </c>
      <c r="I502" s="377"/>
      <c r="J502" s="377"/>
      <c r="K502" s="377"/>
      <c r="L502" s="1"/>
      <c r="M502" s="5"/>
      <c r="N502" s="19">
        <v>2.65</v>
      </c>
      <c r="O502" s="22" t="str">
        <f t="shared" ref="O502" si="17">IF(AND(L502="",M502=""),"",(L502*N502)+(M502*(N502+2.1)))</f>
        <v/>
      </c>
      <c r="P502" s="19" t="s">
        <v>448</v>
      </c>
      <c r="Q502" s="375" t="s">
        <v>81</v>
      </c>
      <c r="R502" s="375"/>
      <c r="S502" s="375"/>
      <c r="T502" s="93"/>
      <c r="U502" s="11"/>
      <c r="V502" s="320">
        <v>0</v>
      </c>
      <c r="W502" s="372" t="str">
        <f>IF(OR(G502="Collectors",G502="Special Pricing",G502="Boutique",G502="leafjoy littles",G502="Premium"),
    IF(V502&gt;0,"Show","Hide"),
    IF(V502 &gt;= _xlfn.XLOOKUP(F502,'Min table'!C$3:C$5,),"Show","Hide")
)</f>
        <v>Hide</v>
      </c>
      <c r="X502" s="342" t="s">
        <v>2150</v>
      </c>
      <c r="Y502" s="342" t="s">
        <v>1889</v>
      </c>
    </row>
    <row r="503" spans="3:25" ht="18.75" hidden="1" x14ac:dyDescent="0.3">
      <c r="C503" s="322"/>
      <c r="D503" s="9"/>
      <c r="E503" s="9"/>
      <c r="F503" s="21" t="s">
        <v>77</v>
      </c>
      <c r="G503" s="20" t="s">
        <v>691</v>
      </c>
      <c r="H503" s="377" t="s">
        <v>775</v>
      </c>
      <c r="I503" s="377"/>
      <c r="J503" s="377" t="s">
        <v>776</v>
      </c>
      <c r="K503" s="377"/>
      <c r="L503" s="1"/>
      <c r="M503" s="5"/>
      <c r="N503" s="19">
        <v>2.65</v>
      </c>
      <c r="O503" s="22" t="str">
        <f t="shared" si="15"/>
        <v/>
      </c>
      <c r="P503" s="19" t="s">
        <v>777</v>
      </c>
      <c r="Q503" s="375" t="s">
        <v>81</v>
      </c>
      <c r="R503" s="375"/>
      <c r="S503" s="375"/>
      <c r="T503" s="93"/>
      <c r="U503" s="11"/>
      <c r="V503" s="320">
        <v>0</v>
      </c>
      <c r="W503" s="372" t="str">
        <f>IF(OR(G503="Collectors",G503="Special Pricing",G503="Boutique",G503="leafjoy littles",G503="Premium"),
    IF(V503&gt;0,"Show","Hide"),
    IF(V503 &gt;= _xlfn.XLOOKUP(F503,'Min table'!C$3:C$5,),"Show","Hide")
)</f>
        <v>Hide</v>
      </c>
      <c r="X503" s="317" t="s">
        <v>2151</v>
      </c>
      <c r="Y503" s="342" t="s">
        <v>775</v>
      </c>
    </row>
    <row r="504" spans="3:25" ht="18.75" hidden="1" x14ac:dyDescent="0.3">
      <c r="C504" s="322"/>
      <c r="D504" s="9"/>
      <c r="E504" s="9"/>
      <c r="F504" s="21" t="s">
        <v>77</v>
      </c>
      <c r="G504" s="20" t="s">
        <v>691</v>
      </c>
      <c r="H504" s="377" t="s">
        <v>778</v>
      </c>
      <c r="I504" s="377"/>
      <c r="J504" s="377" t="s">
        <v>779</v>
      </c>
      <c r="K504" s="377"/>
      <c r="L504" s="1"/>
      <c r="M504" s="5"/>
      <c r="N504" s="19">
        <v>2.65</v>
      </c>
      <c r="O504" s="22" t="str">
        <f t="shared" si="15"/>
        <v/>
      </c>
      <c r="P504" s="19" t="s">
        <v>777</v>
      </c>
      <c r="Q504" s="375" t="s">
        <v>81</v>
      </c>
      <c r="R504" s="375"/>
      <c r="S504" s="375"/>
      <c r="T504" s="93"/>
      <c r="U504" s="11"/>
      <c r="V504" s="320">
        <v>0</v>
      </c>
      <c r="W504" s="372" t="str">
        <f>IF(OR(G504="Collectors",G504="Special Pricing",G504="Boutique",G504="leafjoy littles",G504="Premium"),
    IF(V504&gt;0,"Show","Hide"),
    IF(V504 &gt;= _xlfn.XLOOKUP(F504,'Min table'!C$3:C$5,),"Show","Hide")
)</f>
        <v>Hide</v>
      </c>
      <c r="X504" s="342" t="s">
        <v>2152</v>
      </c>
      <c r="Y504" s="342" t="s">
        <v>778</v>
      </c>
    </row>
    <row r="505" spans="3:25" ht="18.75" x14ac:dyDescent="0.3">
      <c r="C505" s="322"/>
      <c r="D505" s="9"/>
      <c r="E505" s="9"/>
      <c r="F505" s="21" t="s">
        <v>77</v>
      </c>
      <c r="G505" s="20" t="s">
        <v>691</v>
      </c>
      <c r="H505" s="377" t="s">
        <v>1719</v>
      </c>
      <c r="I505" s="377"/>
      <c r="J505" s="377"/>
      <c r="K505" s="377"/>
      <c r="L505" s="1"/>
      <c r="M505" s="5"/>
      <c r="N505" s="19">
        <v>2.65</v>
      </c>
      <c r="O505" s="22" t="str">
        <f t="shared" si="15"/>
        <v/>
      </c>
      <c r="P505" s="19" t="s">
        <v>777</v>
      </c>
      <c r="Q505" s="375" t="s">
        <v>81</v>
      </c>
      <c r="R505" s="375"/>
      <c r="S505" s="375"/>
      <c r="T505" s="93"/>
      <c r="U505" s="11"/>
      <c r="V505" s="320">
        <v>73</v>
      </c>
      <c r="W505" s="372" t="str">
        <f>IF(OR(G505="Collectors",G505="Special Pricing",G505="Boutique",G505="leafjoy littles",G505="Premium"),
    IF(V505&gt;0,"Show","Hide"),
    IF(V505 &gt;= _xlfn.XLOOKUP(F505,'Min table'!C$3:C$5,),"Show","Hide")
)</f>
        <v>Show</v>
      </c>
      <c r="X505" s="342" t="s">
        <v>2153</v>
      </c>
      <c r="Y505" s="342" t="s">
        <v>1719</v>
      </c>
    </row>
    <row r="506" spans="3:25" ht="18.75" hidden="1" x14ac:dyDescent="0.3">
      <c r="C506" s="322"/>
      <c r="D506" s="9"/>
      <c r="E506" s="9"/>
      <c r="F506" s="21" t="s">
        <v>77</v>
      </c>
      <c r="G506" s="20" t="s">
        <v>691</v>
      </c>
      <c r="H506" s="377" t="s">
        <v>1718</v>
      </c>
      <c r="I506" s="377"/>
      <c r="J506" s="377"/>
      <c r="K506" s="377"/>
      <c r="L506" s="1"/>
      <c r="M506" s="5"/>
      <c r="N506" s="19">
        <v>2.65</v>
      </c>
      <c r="O506" s="22" t="str">
        <f t="shared" si="15"/>
        <v/>
      </c>
      <c r="P506" s="19" t="s">
        <v>777</v>
      </c>
      <c r="Q506" s="375" t="s">
        <v>81</v>
      </c>
      <c r="R506" s="375"/>
      <c r="S506" s="375"/>
      <c r="T506" s="93"/>
      <c r="U506" s="11"/>
      <c r="V506" s="320">
        <v>47</v>
      </c>
      <c r="W506" s="372" t="str">
        <f>IF(OR(G506="Collectors",G506="Special Pricing",G506="Boutique",G506="leafjoy littles",G506="Premium"),
    IF(V506&gt;0,"Show","Hide"),
    IF(V506 &gt;= _xlfn.XLOOKUP(F506,'Min table'!C$3:C$5,),"Show","Hide")
)</f>
        <v>Show</v>
      </c>
      <c r="X506" s="342" t="s">
        <v>2154</v>
      </c>
      <c r="Y506" s="342" t="s">
        <v>1718</v>
      </c>
    </row>
    <row r="507" spans="3:25" ht="18.75" x14ac:dyDescent="0.3">
      <c r="C507" s="322"/>
      <c r="D507" s="9"/>
      <c r="E507" s="9"/>
      <c r="F507" s="21" t="s">
        <v>77</v>
      </c>
      <c r="G507" s="20" t="s">
        <v>691</v>
      </c>
      <c r="H507" s="377" t="s">
        <v>780</v>
      </c>
      <c r="I507" s="377"/>
      <c r="J507" s="377" t="s">
        <v>781</v>
      </c>
      <c r="K507" s="377"/>
      <c r="L507" s="1"/>
      <c r="M507" s="5"/>
      <c r="N507" s="19">
        <v>2.65</v>
      </c>
      <c r="O507" s="22" t="str">
        <f t="shared" si="15"/>
        <v/>
      </c>
      <c r="P507" s="19" t="s">
        <v>777</v>
      </c>
      <c r="Q507" s="375" t="s">
        <v>81</v>
      </c>
      <c r="R507" s="375"/>
      <c r="S507" s="375"/>
      <c r="T507" s="106"/>
      <c r="U507" s="11"/>
      <c r="V507" s="320">
        <v>56</v>
      </c>
      <c r="W507" s="372" t="str">
        <f>IF(OR(G507="Collectors",G507="Special Pricing",G507="Boutique",G507="leafjoy littles",G507="Premium"),
    IF(V507&gt;0,"Show","Hide"),
    IF(V507 &gt;= _xlfn.XLOOKUP(F507,'Min table'!C$3:C$5,),"Show","Hide")
)</f>
        <v>Show</v>
      </c>
      <c r="X507" s="342" t="s">
        <v>2155</v>
      </c>
      <c r="Y507" s="342" t="s">
        <v>780</v>
      </c>
    </row>
    <row r="508" spans="3:25" ht="18.75" hidden="1" x14ac:dyDescent="0.3">
      <c r="C508" s="322"/>
      <c r="D508" s="9"/>
      <c r="E508" s="9"/>
      <c r="F508" s="21" t="s">
        <v>77</v>
      </c>
      <c r="G508" s="20" t="s">
        <v>691</v>
      </c>
      <c r="H508" s="377" t="s">
        <v>782</v>
      </c>
      <c r="I508" s="377"/>
      <c r="J508" s="377" t="s">
        <v>783</v>
      </c>
      <c r="K508" s="377"/>
      <c r="L508" s="1"/>
      <c r="M508" s="5"/>
      <c r="N508" s="19">
        <v>2.65</v>
      </c>
      <c r="O508" s="22" t="str">
        <f t="shared" si="15"/>
        <v/>
      </c>
      <c r="P508" s="19" t="s">
        <v>777</v>
      </c>
      <c r="Q508" s="375" t="s">
        <v>81</v>
      </c>
      <c r="R508" s="375"/>
      <c r="S508" s="375"/>
      <c r="T508" s="93"/>
      <c r="U508" s="11"/>
      <c r="V508" s="320">
        <v>0</v>
      </c>
      <c r="W508" s="372" t="str">
        <f>IF(OR(G508="Collectors",G508="Special Pricing",G508="Boutique",G508="leafjoy littles",G508="Premium"),
    IF(V508&gt;0,"Show","Hide"),
    IF(V508 &gt;= _xlfn.XLOOKUP(F508,'Min table'!C$3:C$5,),"Show","Hide")
)</f>
        <v>Hide</v>
      </c>
      <c r="X508" s="317" t="s">
        <v>2156</v>
      </c>
      <c r="Y508" s="342" t="s">
        <v>782</v>
      </c>
    </row>
    <row r="509" spans="3:25" ht="18.75" hidden="1" x14ac:dyDescent="0.3">
      <c r="C509" s="322"/>
      <c r="D509" s="9"/>
      <c r="E509" s="9"/>
      <c r="F509" s="21" t="s">
        <v>77</v>
      </c>
      <c r="G509" s="20" t="s">
        <v>691</v>
      </c>
      <c r="H509" s="377" t="s">
        <v>784</v>
      </c>
      <c r="I509" s="377"/>
      <c r="J509" s="377" t="s">
        <v>785</v>
      </c>
      <c r="K509" s="377"/>
      <c r="L509" s="1"/>
      <c r="M509" s="5"/>
      <c r="N509" s="19">
        <v>2.65</v>
      </c>
      <c r="O509" s="22" t="str">
        <f t="shared" si="15"/>
        <v/>
      </c>
      <c r="P509" s="19" t="s">
        <v>777</v>
      </c>
      <c r="Q509" s="375" t="s">
        <v>81</v>
      </c>
      <c r="R509" s="375"/>
      <c r="S509" s="375"/>
      <c r="T509" s="93"/>
      <c r="U509" s="11"/>
      <c r="V509" s="320">
        <v>0</v>
      </c>
      <c r="W509" s="372" t="str">
        <f>IF(OR(G509="Collectors",G509="Special Pricing",G509="Boutique",G509="leafjoy littles",G509="Premium"),
    IF(V509&gt;0,"Show","Hide"),
    IF(V509 &gt;= _xlfn.XLOOKUP(F509,'Min table'!C$3:C$5,),"Show","Hide")
)</f>
        <v>Hide</v>
      </c>
      <c r="X509" s="342" t="s">
        <v>2157</v>
      </c>
      <c r="Y509" s="342" t="s">
        <v>784</v>
      </c>
    </row>
    <row r="510" spans="3:25" ht="18.75" hidden="1" x14ac:dyDescent="0.3">
      <c r="C510" s="322"/>
      <c r="D510" s="9"/>
      <c r="E510" s="9"/>
      <c r="F510" s="21" t="s">
        <v>77</v>
      </c>
      <c r="G510" s="20" t="s">
        <v>691</v>
      </c>
      <c r="H510" s="377" t="s">
        <v>786</v>
      </c>
      <c r="I510" s="377"/>
      <c r="J510" s="377" t="s">
        <v>787</v>
      </c>
      <c r="K510" s="377"/>
      <c r="L510" s="1"/>
      <c r="M510" s="5"/>
      <c r="N510" s="19">
        <v>2.65</v>
      </c>
      <c r="O510" s="22" t="str">
        <f t="shared" si="15"/>
        <v/>
      </c>
      <c r="P510" s="19" t="s">
        <v>777</v>
      </c>
      <c r="Q510" s="375" t="s">
        <v>81</v>
      </c>
      <c r="R510" s="375"/>
      <c r="S510" s="375"/>
      <c r="T510" s="93"/>
      <c r="U510" s="11"/>
      <c r="V510" s="320">
        <v>0</v>
      </c>
      <c r="W510" s="372" t="str">
        <f>IF(OR(G510="Collectors",G510="Special Pricing",G510="Boutique",G510="leafjoy littles",G510="Premium"),
    IF(V510&gt;0,"Show","Hide"),
    IF(V510 &gt;= _xlfn.XLOOKUP(F510,'Min table'!C$3:C$5,),"Show","Hide")
)</f>
        <v>Hide</v>
      </c>
      <c r="X510" s="317" t="s">
        <v>2158</v>
      </c>
      <c r="Y510" s="342" t="s">
        <v>786</v>
      </c>
    </row>
    <row r="511" spans="3:25" ht="18.75" hidden="1" x14ac:dyDescent="0.3">
      <c r="C511" s="322"/>
      <c r="D511" s="9"/>
      <c r="E511" s="9"/>
      <c r="F511" s="21" t="s">
        <v>77</v>
      </c>
      <c r="G511" s="20" t="s">
        <v>691</v>
      </c>
      <c r="H511" s="377" t="s">
        <v>788</v>
      </c>
      <c r="I511" s="377"/>
      <c r="J511" s="377" t="s">
        <v>789</v>
      </c>
      <c r="K511" s="377"/>
      <c r="L511" s="1"/>
      <c r="M511" s="5"/>
      <c r="N511" s="19">
        <v>2.65</v>
      </c>
      <c r="O511" s="22" t="str">
        <f t="shared" si="15"/>
        <v/>
      </c>
      <c r="P511" s="19" t="s">
        <v>777</v>
      </c>
      <c r="Q511" s="375" t="s">
        <v>81</v>
      </c>
      <c r="R511" s="375"/>
      <c r="S511" s="375"/>
      <c r="T511" s="93"/>
      <c r="U511" s="11"/>
      <c r="V511" s="320">
        <v>0</v>
      </c>
      <c r="W511" s="372" t="str">
        <f>IF(OR(G511="Collectors",G511="Special Pricing",G511="Boutique",G511="leafjoy littles",G511="Premium"),
    IF(V511&gt;0,"Show","Hide"),
    IF(V511 &gt;= _xlfn.XLOOKUP(F511,'Min table'!C$3:C$5,),"Show","Hide")
)</f>
        <v>Hide</v>
      </c>
      <c r="X511" s="342" t="s">
        <v>2159</v>
      </c>
      <c r="Y511" s="342" t="s">
        <v>788</v>
      </c>
    </row>
    <row r="512" spans="3:25" ht="18.75" x14ac:dyDescent="0.3">
      <c r="C512" s="322"/>
      <c r="D512" s="9"/>
      <c r="E512" s="9"/>
      <c r="F512" s="21" t="s">
        <v>77</v>
      </c>
      <c r="G512" s="20" t="s">
        <v>691</v>
      </c>
      <c r="H512" s="377" t="s">
        <v>790</v>
      </c>
      <c r="I512" s="377"/>
      <c r="J512" s="377" t="s">
        <v>791</v>
      </c>
      <c r="K512" s="377"/>
      <c r="L512" s="1"/>
      <c r="M512" s="5"/>
      <c r="N512" s="19">
        <v>2.65</v>
      </c>
      <c r="O512" s="22" t="str">
        <f t="shared" si="15"/>
        <v/>
      </c>
      <c r="P512" s="19" t="s">
        <v>777</v>
      </c>
      <c r="Q512" s="375" t="s">
        <v>81</v>
      </c>
      <c r="R512" s="375"/>
      <c r="S512" s="375"/>
      <c r="T512" s="93"/>
      <c r="U512" s="11"/>
      <c r="V512" s="320">
        <v>114</v>
      </c>
      <c r="W512" s="372" t="str">
        <f>IF(OR(G512="Collectors",G512="Special Pricing",G512="Boutique",G512="leafjoy littles",G512="Premium"),
    IF(V512&gt;0,"Show","Hide"),
    IF(V512 &gt;= _xlfn.XLOOKUP(F512,'Min table'!C$3:C$5,),"Show","Hide")
)</f>
        <v>Show</v>
      </c>
      <c r="X512" s="342" t="s">
        <v>2160</v>
      </c>
      <c r="Y512" s="342" t="s">
        <v>790</v>
      </c>
    </row>
    <row r="513" spans="3:25" ht="18.75" hidden="1" x14ac:dyDescent="0.3">
      <c r="C513" s="322"/>
      <c r="D513" s="9"/>
      <c r="E513" s="9"/>
      <c r="F513" s="21" t="s">
        <v>77</v>
      </c>
      <c r="G513" s="20" t="s">
        <v>691</v>
      </c>
      <c r="H513" s="377" t="s">
        <v>792</v>
      </c>
      <c r="I513" s="377"/>
      <c r="J513" s="377" t="s">
        <v>793</v>
      </c>
      <c r="K513" s="377"/>
      <c r="L513" s="1"/>
      <c r="M513" s="5"/>
      <c r="N513" s="19">
        <v>2.65</v>
      </c>
      <c r="O513" s="22" t="str">
        <f t="shared" si="15"/>
        <v/>
      </c>
      <c r="P513" s="19" t="s">
        <v>794</v>
      </c>
      <c r="Q513" s="375" t="s">
        <v>81</v>
      </c>
      <c r="R513" s="375"/>
      <c r="S513" s="375"/>
      <c r="T513" s="93"/>
      <c r="U513" s="11"/>
      <c r="V513" s="320">
        <v>0</v>
      </c>
      <c r="W513" s="372" t="str">
        <f>IF(OR(G513="Collectors",G513="Special Pricing",G513="Boutique",G513="leafjoy littles",G513="Premium"),
    IF(V513&gt;0,"Show","Hide"),
    IF(V513 &gt;= _xlfn.XLOOKUP(F513,'Min table'!C$3:C$5,),"Show","Hide")
)</f>
        <v>Hide</v>
      </c>
      <c r="X513" s="317" t="s">
        <v>2161</v>
      </c>
      <c r="Y513" s="342" t="s">
        <v>792</v>
      </c>
    </row>
    <row r="514" spans="3:25" ht="18.75" x14ac:dyDescent="0.3">
      <c r="C514" s="322"/>
      <c r="D514" s="9"/>
      <c r="E514" s="9"/>
      <c r="F514" s="21" t="s">
        <v>77</v>
      </c>
      <c r="G514" s="20" t="s">
        <v>691</v>
      </c>
      <c r="H514" s="377" t="s">
        <v>795</v>
      </c>
      <c r="I514" s="377"/>
      <c r="J514" s="377" t="s">
        <v>796</v>
      </c>
      <c r="K514" s="377"/>
      <c r="L514" s="1"/>
      <c r="M514" s="5"/>
      <c r="N514" s="19">
        <v>2.65</v>
      </c>
      <c r="O514" s="22" t="str">
        <f t="shared" si="15"/>
        <v/>
      </c>
      <c r="P514" s="19" t="s">
        <v>794</v>
      </c>
      <c r="Q514" s="375" t="s">
        <v>81</v>
      </c>
      <c r="R514" s="375"/>
      <c r="S514" s="375"/>
      <c r="T514" s="93"/>
      <c r="U514" s="11"/>
      <c r="V514" s="320">
        <v>66</v>
      </c>
      <c r="W514" s="372" t="str">
        <f>IF(OR(G514="Collectors",G514="Special Pricing",G514="Boutique",G514="leafjoy littles",G514="Premium"),
    IF(V514&gt;0,"Show","Hide"),
    IF(V514 &gt;= _xlfn.XLOOKUP(F514,'Min table'!C$3:C$5,),"Show","Hide")
)</f>
        <v>Show</v>
      </c>
      <c r="X514" s="317" t="s">
        <v>2162</v>
      </c>
      <c r="Y514" s="342" t="s">
        <v>795</v>
      </c>
    </row>
    <row r="515" spans="3:25" ht="18.75" x14ac:dyDescent="0.3">
      <c r="C515" s="322"/>
      <c r="D515" s="9"/>
      <c r="E515" s="9"/>
      <c r="F515" s="21" t="s">
        <v>77</v>
      </c>
      <c r="G515" s="20" t="s">
        <v>691</v>
      </c>
      <c r="H515" s="377" t="s">
        <v>797</v>
      </c>
      <c r="I515" s="377"/>
      <c r="J515" s="377" t="s">
        <v>798</v>
      </c>
      <c r="K515" s="377"/>
      <c r="L515" s="1"/>
      <c r="M515" s="5"/>
      <c r="N515" s="19">
        <v>2.65</v>
      </c>
      <c r="O515" s="22" t="str">
        <f t="shared" si="15"/>
        <v/>
      </c>
      <c r="P515" s="19" t="s">
        <v>794</v>
      </c>
      <c r="Q515" s="375" t="s">
        <v>81</v>
      </c>
      <c r="R515" s="375"/>
      <c r="S515" s="375"/>
      <c r="T515" s="93"/>
      <c r="U515" s="11"/>
      <c r="V515" s="320">
        <v>84</v>
      </c>
      <c r="W515" s="372" t="str">
        <f>IF(OR(G515="Collectors",G515="Special Pricing",G515="Boutique",G515="leafjoy littles",G515="Premium"),
    IF(V515&gt;0,"Show","Hide"),
    IF(V515 &gt;= _xlfn.XLOOKUP(F515,'Min table'!C$3:C$5,),"Show","Hide")
)</f>
        <v>Show</v>
      </c>
      <c r="X515" s="317" t="s">
        <v>2163</v>
      </c>
      <c r="Y515" s="342" t="s">
        <v>797</v>
      </c>
    </row>
    <row r="516" spans="3:25" ht="18.75" x14ac:dyDescent="0.3">
      <c r="C516" s="322"/>
      <c r="D516" s="9"/>
      <c r="E516" s="9"/>
      <c r="F516" s="21" t="s">
        <v>77</v>
      </c>
      <c r="G516" s="20" t="s">
        <v>691</v>
      </c>
      <c r="H516" s="377" t="s">
        <v>799</v>
      </c>
      <c r="I516" s="377"/>
      <c r="J516" s="377" t="s">
        <v>800</v>
      </c>
      <c r="K516" s="377"/>
      <c r="L516" s="1"/>
      <c r="M516" s="5"/>
      <c r="N516" s="19">
        <v>2.65</v>
      </c>
      <c r="O516" s="22" t="str">
        <f t="shared" si="15"/>
        <v/>
      </c>
      <c r="P516" s="19" t="s">
        <v>794</v>
      </c>
      <c r="Q516" s="375" t="s">
        <v>81</v>
      </c>
      <c r="R516" s="375"/>
      <c r="S516" s="375"/>
      <c r="T516" s="106"/>
      <c r="U516" s="11"/>
      <c r="V516" s="320">
        <v>83</v>
      </c>
      <c r="W516" s="372" t="str">
        <f>IF(OR(G516="Collectors",G516="Special Pricing",G516="Boutique",G516="leafjoy littles",G516="Premium"),
    IF(V516&gt;0,"Show","Hide"),
    IF(V516 &gt;= _xlfn.XLOOKUP(F516,'Min table'!C$3:C$5,),"Show","Hide")
)</f>
        <v>Show</v>
      </c>
      <c r="X516" s="317" t="s">
        <v>2164</v>
      </c>
      <c r="Y516" s="342" t="s">
        <v>799</v>
      </c>
    </row>
    <row r="517" spans="3:25" ht="18.75" hidden="1" x14ac:dyDescent="0.3">
      <c r="C517" s="322"/>
      <c r="D517" s="9"/>
      <c r="E517" s="9"/>
      <c r="F517" s="21" t="s">
        <v>77</v>
      </c>
      <c r="G517" s="20" t="s">
        <v>691</v>
      </c>
      <c r="H517" s="377" t="s">
        <v>801</v>
      </c>
      <c r="I517" s="377"/>
      <c r="J517" s="377" t="s">
        <v>802</v>
      </c>
      <c r="K517" s="377"/>
      <c r="L517" s="1"/>
      <c r="M517" s="5"/>
      <c r="N517" s="19">
        <v>2.65</v>
      </c>
      <c r="O517" s="22" t="str">
        <f t="shared" si="15"/>
        <v/>
      </c>
      <c r="P517" s="19" t="s">
        <v>803</v>
      </c>
      <c r="Q517" s="375" t="s">
        <v>81</v>
      </c>
      <c r="R517" s="375"/>
      <c r="S517" s="375"/>
      <c r="T517" s="93"/>
      <c r="U517" s="11"/>
      <c r="V517" s="320">
        <v>0</v>
      </c>
      <c r="W517" s="372" t="str">
        <f>IF(OR(G517="Collectors",G517="Special Pricing",G517="Boutique",G517="leafjoy littles",G517="Premium"),
    IF(V517&gt;0,"Show","Hide"),
    IF(V517 &gt;= _xlfn.XLOOKUP(F517,'Min table'!C$3:C$5,),"Show","Hide")
)</f>
        <v>Hide</v>
      </c>
      <c r="X517" s="317" t="s">
        <v>2165</v>
      </c>
      <c r="Y517" s="342" t="s">
        <v>801</v>
      </c>
    </row>
    <row r="518" spans="3:25" ht="18.75" hidden="1" x14ac:dyDescent="0.3">
      <c r="C518" s="322"/>
      <c r="D518" s="9"/>
      <c r="E518" s="9"/>
      <c r="F518" s="21" t="s">
        <v>77</v>
      </c>
      <c r="G518" s="20" t="s">
        <v>691</v>
      </c>
      <c r="H518" s="377" t="s">
        <v>804</v>
      </c>
      <c r="I518" s="377"/>
      <c r="J518" s="377" t="s">
        <v>805</v>
      </c>
      <c r="K518" s="377"/>
      <c r="L518" s="1"/>
      <c r="M518" s="5"/>
      <c r="N518" s="19">
        <v>2.65</v>
      </c>
      <c r="O518" s="22" t="str">
        <f t="shared" si="15"/>
        <v/>
      </c>
      <c r="P518" s="19" t="s">
        <v>794</v>
      </c>
      <c r="Q518" s="375" t="s">
        <v>81</v>
      </c>
      <c r="R518" s="375"/>
      <c r="S518" s="375"/>
      <c r="T518" s="106"/>
      <c r="U518" s="11"/>
      <c r="V518" s="320">
        <v>33</v>
      </c>
      <c r="W518" s="372" t="str">
        <f>IF(OR(G518="Collectors",G518="Special Pricing",G518="Boutique",G518="leafjoy littles",G518="Premium"),
    IF(V518&gt;0,"Show","Hide"),
    IF(V518 &gt;= _xlfn.XLOOKUP(F518,'Min table'!C$3:C$5,),"Show","Hide")
)</f>
        <v>Show</v>
      </c>
      <c r="X518" s="317" t="s">
        <v>2166</v>
      </c>
      <c r="Y518" s="342" t="s">
        <v>804</v>
      </c>
    </row>
    <row r="519" spans="3:25" ht="18.75" hidden="1" x14ac:dyDescent="0.3">
      <c r="C519" s="322"/>
      <c r="D519" s="9"/>
      <c r="E519" s="9"/>
      <c r="F519" s="21" t="s">
        <v>77</v>
      </c>
      <c r="G519" s="20" t="s">
        <v>691</v>
      </c>
      <c r="H519" s="377" t="s">
        <v>806</v>
      </c>
      <c r="I519" s="377"/>
      <c r="J519" s="377" t="s">
        <v>807</v>
      </c>
      <c r="K519" s="377"/>
      <c r="L519" s="1"/>
      <c r="M519" s="5"/>
      <c r="N519" s="19">
        <v>2.65</v>
      </c>
      <c r="O519" s="22" t="str">
        <f t="shared" si="15"/>
        <v/>
      </c>
      <c r="P519" s="19" t="s">
        <v>808</v>
      </c>
      <c r="Q519" s="375" t="s">
        <v>81</v>
      </c>
      <c r="R519" s="375"/>
      <c r="S519" s="375"/>
      <c r="T519" s="93"/>
      <c r="U519" s="11"/>
      <c r="V519" s="320">
        <v>0</v>
      </c>
      <c r="W519" s="372" t="str">
        <f>IF(OR(G519="Collectors",G519="Special Pricing",G519="Boutique",G519="leafjoy littles",G519="Premium"),
    IF(V519&gt;0,"Show","Hide"),
    IF(V519 &gt;= _xlfn.XLOOKUP(F519,'Min table'!C$3:C$5,),"Show","Hide")
)</f>
        <v>Hide</v>
      </c>
      <c r="X519" s="317" t="s">
        <v>2167</v>
      </c>
      <c r="Y519" s="342" t="s">
        <v>806</v>
      </c>
    </row>
    <row r="520" spans="3:25" ht="18.75" hidden="1" x14ac:dyDescent="0.3">
      <c r="C520" s="322"/>
      <c r="D520" s="9"/>
      <c r="E520" s="9"/>
      <c r="F520" s="21" t="s">
        <v>77</v>
      </c>
      <c r="G520" s="20" t="s">
        <v>691</v>
      </c>
      <c r="H520" s="377" t="s">
        <v>1702</v>
      </c>
      <c r="I520" s="377"/>
      <c r="J520" s="377"/>
      <c r="K520" s="377"/>
      <c r="L520" s="1"/>
      <c r="M520" s="5"/>
      <c r="N520" s="19">
        <v>2.65</v>
      </c>
      <c r="O520" s="22" t="str">
        <f t="shared" ref="O520" si="18">IF(AND(L520="",M520=""),"",(L520*N520)+(M520*(N520+2.1)))</f>
        <v/>
      </c>
      <c r="P520" s="19" t="s">
        <v>808</v>
      </c>
      <c r="Q520" s="375" t="s">
        <v>81</v>
      </c>
      <c r="R520" s="375"/>
      <c r="S520" s="375"/>
      <c r="T520" s="93"/>
      <c r="U520" s="11"/>
      <c r="V520" s="320">
        <v>0</v>
      </c>
      <c r="W520" s="372" t="str">
        <f>IF(OR(G520="Collectors",G520="Special Pricing",G520="Boutique",G520="leafjoy littles",G520="Premium"),
    IF(V520&gt;0,"Show","Hide"),
    IF(V520 &gt;= _xlfn.XLOOKUP(F520,'Min table'!C$3:C$5,),"Show","Hide")
)</f>
        <v>Hide</v>
      </c>
      <c r="X520" s="317" t="s">
        <v>2168</v>
      </c>
      <c r="Y520" s="342" t="s">
        <v>1702</v>
      </c>
    </row>
    <row r="521" spans="3:25" ht="18.75" hidden="1" x14ac:dyDescent="0.3">
      <c r="C521" s="322"/>
      <c r="D521" s="9"/>
      <c r="E521" s="9"/>
      <c r="F521" s="21" t="s">
        <v>77</v>
      </c>
      <c r="G521" s="20" t="s">
        <v>691</v>
      </c>
      <c r="H521" s="377" t="s">
        <v>809</v>
      </c>
      <c r="I521" s="377"/>
      <c r="J521" s="377" t="s">
        <v>810</v>
      </c>
      <c r="K521" s="377"/>
      <c r="L521" s="1"/>
      <c r="M521" s="5"/>
      <c r="N521" s="19">
        <v>2.65</v>
      </c>
      <c r="O521" s="22" t="str">
        <f t="shared" si="15"/>
        <v/>
      </c>
      <c r="P521" s="19" t="s">
        <v>811</v>
      </c>
      <c r="Q521" s="375" t="s">
        <v>81</v>
      </c>
      <c r="R521" s="375"/>
      <c r="S521" s="375"/>
      <c r="T521" s="93"/>
      <c r="U521" s="11"/>
      <c r="V521" s="320">
        <v>0</v>
      </c>
      <c r="W521" s="372" t="str">
        <f>IF(OR(G521="Collectors",G521="Special Pricing",G521="Boutique",G521="leafjoy littles",G521="Premium"),
    IF(V521&gt;0,"Show","Hide"),
    IF(V521 &gt;= _xlfn.XLOOKUP(F521,'Min table'!C$3:C$5,),"Show","Hide")
)</f>
        <v>Hide</v>
      </c>
      <c r="X521" s="317" t="s">
        <v>2169</v>
      </c>
      <c r="Y521" s="342" t="s">
        <v>809</v>
      </c>
    </row>
    <row r="522" spans="3:25" ht="18.75" hidden="1" x14ac:dyDescent="0.3">
      <c r="C522" s="322"/>
      <c r="D522" s="9"/>
      <c r="E522" s="9"/>
      <c r="F522" s="21" t="s">
        <v>77</v>
      </c>
      <c r="G522" s="20" t="s">
        <v>691</v>
      </c>
      <c r="H522" s="377" t="s">
        <v>812</v>
      </c>
      <c r="I522" s="377"/>
      <c r="J522" s="377" t="s">
        <v>813</v>
      </c>
      <c r="K522" s="377"/>
      <c r="L522" s="1"/>
      <c r="M522" s="5"/>
      <c r="N522" s="19">
        <v>2.65</v>
      </c>
      <c r="O522" s="22" t="str">
        <f t="shared" si="15"/>
        <v/>
      </c>
      <c r="P522" s="19" t="s">
        <v>814</v>
      </c>
      <c r="Q522" s="375" t="s">
        <v>81</v>
      </c>
      <c r="R522" s="375"/>
      <c r="S522" s="375"/>
      <c r="T522" s="93"/>
      <c r="U522" s="11"/>
      <c r="V522" s="320">
        <v>0</v>
      </c>
      <c r="W522" s="372" t="str">
        <f>IF(OR(G522="Collectors",G522="Special Pricing",G522="Boutique",G522="leafjoy littles",G522="Premium"),
    IF(V522&gt;0,"Show","Hide"),
    IF(V522 &gt;= _xlfn.XLOOKUP(F522,'Min table'!C$3:C$5,),"Show","Hide")
)</f>
        <v>Hide</v>
      </c>
      <c r="X522" s="317" t="s">
        <v>2170</v>
      </c>
      <c r="Y522" s="342" t="s">
        <v>812</v>
      </c>
    </row>
    <row r="523" spans="3:25" ht="18.75" hidden="1" x14ac:dyDescent="0.3">
      <c r="C523" s="322"/>
      <c r="D523" s="9"/>
      <c r="E523" s="9"/>
      <c r="F523" s="21" t="s">
        <v>77</v>
      </c>
      <c r="G523" s="20" t="s">
        <v>691</v>
      </c>
      <c r="H523" s="377" t="s">
        <v>815</v>
      </c>
      <c r="I523" s="377"/>
      <c r="J523" s="377" t="s">
        <v>816</v>
      </c>
      <c r="K523" s="377"/>
      <c r="L523" s="1"/>
      <c r="M523" s="5"/>
      <c r="N523" s="19">
        <v>2.65</v>
      </c>
      <c r="O523" s="22" t="str">
        <f t="shared" si="15"/>
        <v/>
      </c>
      <c r="P523" s="19" t="s">
        <v>808</v>
      </c>
      <c r="Q523" s="375" t="s">
        <v>81</v>
      </c>
      <c r="R523" s="375"/>
      <c r="S523" s="375"/>
      <c r="T523" s="93"/>
      <c r="U523" s="11"/>
      <c r="V523" s="320">
        <v>0</v>
      </c>
      <c r="W523" s="372" t="str">
        <f>IF(OR(G523="Collectors",G523="Special Pricing",G523="Boutique",G523="leafjoy littles",G523="Premium"),
    IF(V523&gt;0,"Show","Hide"),
    IF(V523 &gt;= _xlfn.XLOOKUP(F523,'Min table'!C$3:C$5,),"Show","Hide")
)</f>
        <v>Hide</v>
      </c>
      <c r="X523" s="317" t="s">
        <v>2171</v>
      </c>
      <c r="Y523" s="342" t="s">
        <v>815</v>
      </c>
    </row>
    <row r="524" spans="3:25" ht="18.75" hidden="1" x14ac:dyDescent="0.3">
      <c r="C524" s="322"/>
      <c r="D524" s="9"/>
      <c r="E524" s="9"/>
      <c r="F524" s="21" t="s">
        <v>77</v>
      </c>
      <c r="G524" s="20" t="s">
        <v>691</v>
      </c>
      <c r="H524" s="377" t="s">
        <v>817</v>
      </c>
      <c r="I524" s="377"/>
      <c r="J524" s="377" t="s">
        <v>818</v>
      </c>
      <c r="K524" s="377"/>
      <c r="L524" s="1"/>
      <c r="M524" s="5"/>
      <c r="N524" s="19">
        <v>2.65</v>
      </c>
      <c r="O524" s="22" t="str">
        <f t="shared" si="15"/>
        <v/>
      </c>
      <c r="P524" s="19" t="s">
        <v>808</v>
      </c>
      <c r="Q524" s="375" t="s">
        <v>81</v>
      </c>
      <c r="R524" s="375"/>
      <c r="S524" s="375"/>
      <c r="T524" s="93"/>
      <c r="U524" s="11"/>
      <c r="V524" s="320">
        <v>0</v>
      </c>
      <c r="W524" s="372" t="str">
        <f>IF(OR(G524="Collectors",G524="Special Pricing",G524="Boutique",G524="leafjoy littles",G524="Premium"),
    IF(V524&gt;0,"Show","Hide"),
    IF(V524 &gt;= _xlfn.XLOOKUP(F524,'Min table'!C$3:C$5,),"Show","Hide")
)</f>
        <v>Hide</v>
      </c>
      <c r="X524" s="317" t="s">
        <v>2172</v>
      </c>
      <c r="Y524" s="342" t="s">
        <v>817</v>
      </c>
    </row>
    <row r="525" spans="3:25" ht="18.75" hidden="1" x14ac:dyDescent="0.3">
      <c r="C525" s="322"/>
      <c r="D525" s="9"/>
      <c r="E525" s="9"/>
      <c r="F525" s="21" t="s">
        <v>77</v>
      </c>
      <c r="G525" s="20" t="s">
        <v>691</v>
      </c>
      <c r="H525" s="377" t="s">
        <v>819</v>
      </c>
      <c r="I525" s="377"/>
      <c r="J525" s="377" t="s">
        <v>820</v>
      </c>
      <c r="K525" s="377"/>
      <c r="L525" s="1"/>
      <c r="M525" s="5"/>
      <c r="N525" s="19">
        <v>2.65</v>
      </c>
      <c r="O525" s="22" t="str">
        <f t="shared" si="15"/>
        <v/>
      </c>
      <c r="P525" s="19" t="s">
        <v>808</v>
      </c>
      <c r="Q525" s="375" t="s">
        <v>81</v>
      </c>
      <c r="R525" s="375"/>
      <c r="S525" s="375"/>
      <c r="T525" s="93"/>
      <c r="U525" s="11"/>
      <c r="V525" s="320">
        <v>0</v>
      </c>
      <c r="W525" s="372" t="str">
        <f>IF(OR(G525="Collectors",G525="Special Pricing",G525="Boutique",G525="leafjoy littles",G525="Premium"),
    IF(V525&gt;0,"Show","Hide"),
    IF(V525 &gt;= _xlfn.XLOOKUP(F525,'Min table'!C$3:C$5,),"Show","Hide")
)</f>
        <v>Hide</v>
      </c>
      <c r="X525" s="317" t="s">
        <v>2173</v>
      </c>
      <c r="Y525" s="342" t="s">
        <v>819</v>
      </c>
    </row>
    <row r="526" spans="3:25" ht="18.75" hidden="1" x14ac:dyDescent="0.3">
      <c r="C526" s="322"/>
      <c r="D526" s="9"/>
      <c r="E526" s="9"/>
      <c r="F526" s="21" t="s">
        <v>77</v>
      </c>
      <c r="G526" s="20" t="s">
        <v>691</v>
      </c>
      <c r="H526" s="377" t="s">
        <v>821</v>
      </c>
      <c r="I526" s="377"/>
      <c r="J526" s="377" t="s">
        <v>822</v>
      </c>
      <c r="K526" s="377"/>
      <c r="L526" s="1"/>
      <c r="M526" s="5"/>
      <c r="N526" s="19">
        <v>2.65</v>
      </c>
      <c r="O526" s="22" t="str">
        <f t="shared" si="15"/>
        <v/>
      </c>
      <c r="P526" s="19" t="s">
        <v>823</v>
      </c>
      <c r="Q526" s="375" t="s">
        <v>81</v>
      </c>
      <c r="R526" s="375"/>
      <c r="S526" s="375"/>
      <c r="T526" s="93"/>
      <c r="U526" s="11"/>
      <c r="V526" s="320">
        <v>0</v>
      </c>
      <c r="W526" s="372" t="str">
        <f>IF(OR(G526="Collectors",G526="Special Pricing",G526="Boutique",G526="leafjoy littles",G526="Premium"),
    IF(V526&gt;0,"Show","Hide"),
    IF(V526 &gt;= _xlfn.XLOOKUP(F526,'Min table'!C$3:C$5,),"Show","Hide")
)</f>
        <v>Hide</v>
      </c>
      <c r="X526" s="317" t="s">
        <v>2174</v>
      </c>
      <c r="Y526" s="342" t="s">
        <v>821</v>
      </c>
    </row>
    <row r="527" spans="3:25" ht="18.75" hidden="1" x14ac:dyDescent="0.3">
      <c r="C527" s="322"/>
      <c r="D527" s="9"/>
      <c r="E527" s="9"/>
      <c r="F527" s="21" t="s">
        <v>77</v>
      </c>
      <c r="G527" s="20" t="s">
        <v>691</v>
      </c>
      <c r="H527" s="377" t="s">
        <v>2258</v>
      </c>
      <c r="I527" s="377"/>
      <c r="J527" s="377"/>
      <c r="K527" s="377"/>
      <c r="L527" s="1"/>
      <c r="M527" s="5"/>
      <c r="N527" s="19">
        <v>2.65</v>
      </c>
      <c r="O527" s="22" t="str">
        <f t="shared" si="15"/>
        <v/>
      </c>
      <c r="P527" s="19" t="s">
        <v>2259</v>
      </c>
      <c r="Q527" s="375" t="s">
        <v>81</v>
      </c>
      <c r="R527" s="375"/>
      <c r="S527" s="375"/>
      <c r="T527" s="106"/>
      <c r="U527" s="11"/>
      <c r="V527" s="320">
        <v>10</v>
      </c>
      <c r="W527" s="372" t="str">
        <f>IF(OR(G527="Collectors",G527="Special Pricing",G527="Boutique",G527="leafjoy littles",G527="Premium"),
    IF(V527&gt;0,"Show","Hide"),
    IF(V527 &gt;= _xlfn.XLOOKUP(F527,'Min table'!C$3:C$5,),"Show","Hide")
)</f>
        <v>Show</v>
      </c>
      <c r="X527" s="317" t="s">
        <v>2603</v>
      </c>
      <c r="Y527" s="342"/>
    </row>
    <row r="528" spans="3:25" ht="18.75" hidden="1" x14ac:dyDescent="0.3">
      <c r="C528" s="322"/>
      <c r="D528" s="9"/>
      <c r="E528" s="9"/>
      <c r="F528" s="21" t="s">
        <v>77</v>
      </c>
      <c r="G528" s="20" t="s">
        <v>691</v>
      </c>
      <c r="H528" s="377" t="s">
        <v>2256</v>
      </c>
      <c r="I528" s="377"/>
      <c r="J528" s="377"/>
      <c r="K528" s="377"/>
      <c r="L528" s="1"/>
      <c r="M528" s="5"/>
      <c r="N528" s="19">
        <v>2.65</v>
      </c>
      <c r="O528" s="22" t="str">
        <f t="shared" ref="O528:O534" si="19">IF(AND(L528="",M528=""),"",(L528*N528)+(M528*(N528+2.1)))</f>
        <v/>
      </c>
      <c r="P528" s="19" t="s">
        <v>811</v>
      </c>
      <c r="Q528" s="375" t="s">
        <v>81</v>
      </c>
      <c r="R528" s="375"/>
      <c r="S528" s="375"/>
      <c r="T528" s="93"/>
      <c r="U528" s="11"/>
      <c r="V528" s="320">
        <v>0</v>
      </c>
      <c r="W528" s="372" t="str">
        <f>IF(OR(G528="Collectors",G528="Special Pricing",G528="Boutique",G528="leafjoy littles",G528="Premium"),
    IF(V528&gt;0,"Show","Hide"),
    IF(V528 &gt;= _xlfn.XLOOKUP(F528,'Min table'!C$3:C$5,),"Show","Hide")
)</f>
        <v>Hide</v>
      </c>
      <c r="X528" s="317" t="s">
        <v>2175</v>
      </c>
      <c r="Y528" s="342" t="s">
        <v>1703</v>
      </c>
    </row>
    <row r="529" spans="3:25" ht="18.75" hidden="1" x14ac:dyDescent="0.3">
      <c r="C529" s="322"/>
      <c r="D529" s="9"/>
      <c r="E529" s="9"/>
      <c r="F529" s="21" t="s">
        <v>77</v>
      </c>
      <c r="G529" s="20" t="s">
        <v>691</v>
      </c>
      <c r="H529" s="377" t="s">
        <v>2257</v>
      </c>
      <c r="I529" s="377"/>
      <c r="J529" s="377"/>
      <c r="K529" s="377"/>
      <c r="L529" s="1"/>
      <c r="M529" s="5"/>
      <c r="N529" s="19">
        <v>2.65</v>
      </c>
      <c r="O529" s="22" t="str">
        <f t="shared" si="19"/>
        <v/>
      </c>
      <c r="P529" s="19" t="s">
        <v>811</v>
      </c>
      <c r="Q529" s="375" t="s">
        <v>81</v>
      </c>
      <c r="R529" s="375"/>
      <c r="S529" s="375"/>
      <c r="T529" s="93"/>
      <c r="U529" s="11"/>
      <c r="V529" s="320">
        <v>0</v>
      </c>
      <c r="W529" s="372" t="str">
        <f>IF(OR(G529="Collectors",G529="Special Pricing",G529="Boutique",G529="leafjoy littles",G529="Premium"),
    IF(V529&gt;0,"Show","Hide"),
    IF(V529 &gt;= _xlfn.XLOOKUP(F529,'Min table'!C$3:C$5,),"Show","Hide")
)</f>
        <v>Hide</v>
      </c>
      <c r="X529" s="317" t="s">
        <v>2176</v>
      </c>
      <c r="Y529" s="342" t="s">
        <v>1704</v>
      </c>
    </row>
    <row r="530" spans="3:25" ht="18.75" hidden="1" x14ac:dyDescent="0.3">
      <c r="C530" s="322"/>
      <c r="D530" s="9"/>
      <c r="E530" s="9"/>
      <c r="F530" s="21" t="s">
        <v>77</v>
      </c>
      <c r="G530" s="20" t="s">
        <v>691</v>
      </c>
      <c r="H530" s="377" t="s">
        <v>1720</v>
      </c>
      <c r="I530" s="377"/>
      <c r="J530" s="377"/>
      <c r="K530" s="377"/>
      <c r="L530" s="1"/>
      <c r="M530" s="5"/>
      <c r="N530" s="19">
        <v>2.65</v>
      </c>
      <c r="O530" s="22" t="str">
        <f t="shared" si="19"/>
        <v/>
      </c>
      <c r="P530" s="19" t="s">
        <v>811</v>
      </c>
      <c r="Q530" s="375" t="s">
        <v>81</v>
      </c>
      <c r="R530" s="375"/>
      <c r="S530" s="375"/>
      <c r="T530" s="93"/>
      <c r="U530" s="11"/>
      <c r="V530" s="320">
        <v>0</v>
      </c>
      <c r="W530" s="372" t="str">
        <f>IF(OR(G530="Collectors",G530="Special Pricing",G530="Boutique",G530="leafjoy littles",G530="Premium"),
    IF(V530&gt;0,"Show","Hide"),
    IF(V530 &gt;= _xlfn.XLOOKUP(F530,'Min table'!C$3:C$5,),"Show","Hide")
)</f>
        <v>Hide</v>
      </c>
      <c r="X530" s="317" t="s">
        <v>2177</v>
      </c>
      <c r="Y530" s="342" t="s">
        <v>1720</v>
      </c>
    </row>
    <row r="531" spans="3:25" ht="18.75" hidden="1" x14ac:dyDescent="0.3">
      <c r="C531" s="322"/>
      <c r="D531" s="9"/>
      <c r="E531" s="9"/>
      <c r="F531" s="21" t="s">
        <v>77</v>
      </c>
      <c r="G531" s="20" t="s">
        <v>691</v>
      </c>
      <c r="H531" s="377" t="s">
        <v>1707</v>
      </c>
      <c r="I531" s="377"/>
      <c r="J531" s="377"/>
      <c r="K531" s="377"/>
      <c r="L531" s="1"/>
      <c r="M531" s="5"/>
      <c r="N531" s="19">
        <v>2.65</v>
      </c>
      <c r="O531" s="22" t="str">
        <f t="shared" si="19"/>
        <v/>
      </c>
      <c r="P531" s="19" t="s">
        <v>811</v>
      </c>
      <c r="Q531" s="375" t="s">
        <v>81</v>
      </c>
      <c r="R531" s="375"/>
      <c r="S531" s="375"/>
      <c r="T531" s="93"/>
      <c r="U531" s="11"/>
      <c r="V531" s="320">
        <v>0</v>
      </c>
      <c r="W531" s="372" t="str">
        <f>IF(OR(G531="Collectors",G531="Special Pricing",G531="Boutique",G531="leafjoy littles",G531="Premium"),
    IF(V531&gt;0,"Show","Hide"),
    IF(V531 &gt;= _xlfn.XLOOKUP(F531,'Min table'!C$3:C$5,),"Show","Hide")
)</f>
        <v>Hide</v>
      </c>
      <c r="X531" s="317" t="s">
        <v>2178</v>
      </c>
      <c r="Y531" s="342" t="s">
        <v>1707</v>
      </c>
    </row>
    <row r="532" spans="3:25" ht="18.75" hidden="1" x14ac:dyDescent="0.3">
      <c r="C532" s="322"/>
      <c r="D532" s="9"/>
      <c r="E532" s="9"/>
      <c r="F532" s="21" t="s">
        <v>77</v>
      </c>
      <c r="G532" s="20" t="s">
        <v>691</v>
      </c>
      <c r="H532" s="377" t="s">
        <v>1706</v>
      </c>
      <c r="I532" s="377"/>
      <c r="J532" s="377"/>
      <c r="K532" s="377"/>
      <c r="L532" s="1"/>
      <c r="M532" s="5"/>
      <c r="N532" s="19">
        <v>2.65</v>
      </c>
      <c r="O532" s="22" t="str">
        <f t="shared" si="19"/>
        <v/>
      </c>
      <c r="P532" s="19" t="s">
        <v>811</v>
      </c>
      <c r="Q532" s="375" t="s">
        <v>81</v>
      </c>
      <c r="R532" s="375"/>
      <c r="S532" s="375"/>
      <c r="T532" s="93"/>
      <c r="U532" s="11"/>
      <c r="V532" s="320">
        <v>0</v>
      </c>
      <c r="W532" s="372" t="str">
        <f>IF(OR(G532="Collectors",G532="Special Pricing",G532="Boutique",G532="leafjoy littles",G532="Premium"),
    IF(V532&gt;0,"Show","Hide"),
    IF(V532 &gt;= _xlfn.XLOOKUP(F532,'Min table'!C$3:C$5,),"Show","Hide")
)</f>
        <v>Hide</v>
      </c>
      <c r="X532" s="317" t="s">
        <v>2179</v>
      </c>
      <c r="Y532" s="342" t="s">
        <v>1706</v>
      </c>
    </row>
    <row r="533" spans="3:25" ht="18.75" hidden="1" x14ac:dyDescent="0.3">
      <c r="C533" s="322"/>
      <c r="D533" s="9"/>
      <c r="E533" s="9"/>
      <c r="F533" s="21" t="s">
        <v>77</v>
      </c>
      <c r="G533" s="20" t="s">
        <v>691</v>
      </c>
      <c r="H533" s="377" t="s">
        <v>824</v>
      </c>
      <c r="I533" s="377"/>
      <c r="J533" s="377" t="s">
        <v>825</v>
      </c>
      <c r="K533" s="377"/>
      <c r="L533" s="1"/>
      <c r="M533" s="5"/>
      <c r="N533" s="19">
        <v>2.65</v>
      </c>
      <c r="O533" s="22" t="str">
        <f>IF(AND(L533="",M533=""),"",(L533*N533)+(M533*(N533+2.1)))</f>
        <v/>
      </c>
      <c r="P533" s="19" t="s">
        <v>811</v>
      </c>
      <c r="Q533" s="375" t="s">
        <v>81</v>
      </c>
      <c r="R533" s="375"/>
      <c r="S533" s="375"/>
      <c r="T533" s="93"/>
      <c r="U533" s="11"/>
      <c r="V533" s="320">
        <v>0</v>
      </c>
      <c r="W533" s="372" t="str">
        <f>IF(OR(G533="Collectors",G533="Special Pricing",G533="Boutique",G533="leafjoy littles",G533="Premium"),
    IF(V533&gt;0,"Show","Hide"),
    IF(V533 &gt;= _xlfn.XLOOKUP(F533,'Min table'!C$3:C$5,),"Show","Hide")
)</f>
        <v>Hide</v>
      </c>
      <c r="X533" s="317" t="s">
        <v>2180</v>
      </c>
      <c r="Y533" s="342" t="s">
        <v>824</v>
      </c>
    </row>
    <row r="534" spans="3:25" ht="18.75" hidden="1" x14ac:dyDescent="0.3">
      <c r="C534" s="322"/>
      <c r="D534" s="9"/>
      <c r="E534" s="9"/>
      <c r="F534" s="21" t="s">
        <v>77</v>
      </c>
      <c r="G534" s="20" t="s">
        <v>691</v>
      </c>
      <c r="H534" s="377" t="s">
        <v>1705</v>
      </c>
      <c r="I534" s="377"/>
      <c r="J534" s="377"/>
      <c r="K534" s="377"/>
      <c r="L534" s="1"/>
      <c r="M534" s="5"/>
      <c r="N534" s="19">
        <v>2.65</v>
      </c>
      <c r="O534" s="22" t="str">
        <f t="shared" si="19"/>
        <v/>
      </c>
      <c r="P534" s="19" t="s">
        <v>811</v>
      </c>
      <c r="Q534" s="375" t="s">
        <v>81</v>
      </c>
      <c r="R534" s="375"/>
      <c r="S534" s="375"/>
      <c r="T534" s="93"/>
      <c r="U534" s="11"/>
      <c r="V534" s="320">
        <v>0</v>
      </c>
      <c r="W534" s="372" t="str">
        <f>IF(OR(G534="Collectors",G534="Special Pricing",G534="Boutique",G534="leafjoy littles",G534="Premium"),
    IF(V534&gt;0,"Show","Hide"),
    IF(V534 &gt;= _xlfn.XLOOKUP(F534,'Min table'!C$3:C$5,),"Show","Hide")
)</f>
        <v>Hide</v>
      </c>
      <c r="X534" s="317" t="s">
        <v>2181</v>
      </c>
      <c r="Y534" s="342" t="s">
        <v>1705</v>
      </c>
    </row>
    <row r="535" spans="3:25" ht="18.75" hidden="1" x14ac:dyDescent="0.3">
      <c r="C535" s="322"/>
      <c r="D535" s="9"/>
      <c r="E535" s="9"/>
      <c r="F535" s="21" t="s">
        <v>77</v>
      </c>
      <c r="G535" s="20" t="s">
        <v>691</v>
      </c>
      <c r="H535" s="377" t="s">
        <v>826</v>
      </c>
      <c r="I535" s="377"/>
      <c r="J535" s="377" t="s">
        <v>827</v>
      </c>
      <c r="K535" s="377"/>
      <c r="L535" s="1"/>
      <c r="M535" s="5"/>
      <c r="N535" s="19">
        <v>2.65</v>
      </c>
      <c r="O535" s="22" t="str">
        <f t="shared" si="15"/>
        <v/>
      </c>
      <c r="P535" s="19" t="s">
        <v>828</v>
      </c>
      <c r="Q535" s="375" t="s">
        <v>81</v>
      </c>
      <c r="R535" s="375"/>
      <c r="S535" s="375"/>
      <c r="T535" s="93"/>
      <c r="U535" s="11"/>
      <c r="V535" s="320">
        <v>0</v>
      </c>
      <c r="W535" s="372" t="str">
        <f>IF(OR(G535="Collectors",G535="Special Pricing",G535="Boutique",G535="leafjoy littles",G535="Premium"),
    IF(V535&gt;0,"Show","Hide"),
    IF(V535 &gt;= _xlfn.XLOOKUP(F535,'Min table'!C$3:C$5,),"Show","Hide")
)</f>
        <v>Hide</v>
      </c>
      <c r="X535" s="317" t="s">
        <v>2182</v>
      </c>
      <c r="Y535" s="342" t="s">
        <v>826</v>
      </c>
    </row>
    <row r="536" spans="3:25" ht="18.75" hidden="1" x14ac:dyDescent="0.3">
      <c r="C536" s="322"/>
      <c r="D536" s="9"/>
      <c r="E536" s="9"/>
      <c r="F536" s="21" t="s">
        <v>77</v>
      </c>
      <c r="G536" s="20" t="s">
        <v>691</v>
      </c>
      <c r="H536" s="377" t="s">
        <v>1821</v>
      </c>
      <c r="I536" s="377"/>
      <c r="J536" s="377"/>
      <c r="K536" s="377"/>
      <c r="L536" s="1"/>
      <c r="M536" s="5"/>
      <c r="N536" s="19">
        <v>2.65</v>
      </c>
      <c r="O536" s="22" t="str">
        <f>IF(AND(L536="",M536=""),"",(L536*N537)+(M536*(N537+2.1)))</f>
        <v/>
      </c>
      <c r="P536" s="19" t="s">
        <v>1862</v>
      </c>
      <c r="Q536" s="375" t="s">
        <v>81</v>
      </c>
      <c r="R536" s="375"/>
      <c r="S536" s="375"/>
      <c r="T536" s="93"/>
      <c r="U536" s="11"/>
      <c r="V536" s="320">
        <v>7</v>
      </c>
      <c r="W536" s="372" t="str">
        <f>IF(OR(G536="Collectors",G536="Special Pricing",G536="Boutique",G536="leafjoy littles",G536="Premium"),
    IF(V536&gt;0,"Show","Hide"),
    IF(V536 &gt;= _xlfn.XLOOKUP(F536,'Min table'!C$3:C$5,),"Show","Hide")
)</f>
        <v>Show</v>
      </c>
      <c r="X536" s="317" t="s">
        <v>2183</v>
      </c>
      <c r="Y536" s="342" t="s">
        <v>1821</v>
      </c>
    </row>
    <row r="537" spans="3:25" ht="18.75" hidden="1" x14ac:dyDescent="0.3">
      <c r="C537" s="322"/>
      <c r="D537" s="9"/>
      <c r="E537" s="9"/>
      <c r="F537" s="21" t="s">
        <v>77</v>
      </c>
      <c r="G537" s="20" t="s">
        <v>691</v>
      </c>
      <c r="H537" s="377" t="s">
        <v>829</v>
      </c>
      <c r="I537" s="377"/>
      <c r="J537" s="377" t="s">
        <v>830</v>
      </c>
      <c r="K537" s="377"/>
      <c r="L537" s="1"/>
      <c r="M537" s="5"/>
      <c r="N537" s="19">
        <v>2.65</v>
      </c>
      <c r="O537" s="22" t="str">
        <f t="shared" si="15"/>
        <v/>
      </c>
      <c r="P537" s="19" t="s">
        <v>97</v>
      </c>
      <c r="Q537" s="375" t="s">
        <v>81</v>
      </c>
      <c r="R537" s="375"/>
      <c r="S537" s="375"/>
      <c r="T537" s="93"/>
      <c r="U537" s="11"/>
      <c r="V537" s="320">
        <v>0</v>
      </c>
      <c r="W537" s="372" t="str">
        <f>IF(OR(G537="Collectors",G537="Special Pricing",G537="Boutique",G537="leafjoy littles",G537="Premium"),
    IF(V537&gt;0,"Show","Hide"),
    IF(V537 &gt;= _xlfn.XLOOKUP(F537,'Min table'!C$3:C$5,),"Show","Hide")
)</f>
        <v>Hide</v>
      </c>
      <c r="X537" s="317" t="s">
        <v>2184</v>
      </c>
      <c r="Y537" s="342" t="s">
        <v>829</v>
      </c>
    </row>
    <row r="538" spans="3:25" ht="18.75" hidden="1" x14ac:dyDescent="0.3">
      <c r="C538" s="322"/>
      <c r="D538" s="9"/>
      <c r="E538" s="9"/>
      <c r="F538" s="21" t="s">
        <v>77</v>
      </c>
      <c r="G538" s="20" t="s">
        <v>691</v>
      </c>
      <c r="H538" s="377" t="s">
        <v>1708</v>
      </c>
      <c r="I538" s="377"/>
      <c r="J538" s="377"/>
      <c r="K538" s="377"/>
      <c r="L538" s="1"/>
      <c r="M538" s="5"/>
      <c r="N538" s="19">
        <v>2.65</v>
      </c>
      <c r="O538" s="22" t="str">
        <f t="shared" ref="O538" si="20">IF(AND(L538="",M538=""),"",(L538*N538)+(M538*(N538+2.1)))</f>
        <v/>
      </c>
      <c r="P538" s="19" t="s">
        <v>97</v>
      </c>
      <c r="Q538" s="375" t="s">
        <v>81</v>
      </c>
      <c r="R538" s="375"/>
      <c r="S538" s="375"/>
      <c r="T538" s="93"/>
      <c r="U538" s="11"/>
      <c r="V538" s="320">
        <v>0</v>
      </c>
      <c r="W538" s="372" t="str">
        <f>IF(OR(G538="Collectors",G538="Special Pricing",G538="Boutique",G538="leafjoy littles",G538="Premium"),
    IF(V538&gt;0,"Show","Hide"),
    IF(V538 &gt;= _xlfn.XLOOKUP(F538,'Min table'!C$3:C$5,),"Show","Hide")
)</f>
        <v>Hide</v>
      </c>
      <c r="X538" s="317" t="s">
        <v>2185</v>
      </c>
      <c r="Y538" s="342" t="s">
        <v>1708</v>
      </c>
    </row>
    <row r="539" spans="3:25" ht="18.75" hidden="1" x14ac:dyDescent="0.3">
      <c r="C539" s="322"/>
      <c r="D539" s="9"/>
      <c r="E539" s="9"/>
      <c r="F539" s="21" t="s">
        <v>77</v>
      </c>
      <c r="G539" s="20" t="s">
        <v>691</v>
      </c>
      <c r="H539" s="377" t="s">
        <v>831</v>
      </c>
      <c r="I539" s="377"/>
      <c r="J539" s="377" t="s">
        <v>832</v>
      </c>
      <c r="K539" s="377"/>
      <c r="L539" s="1"/>
      <c r="M539" s="5"/>
      <c r="N539" s="19">
        <v>2.65</v>
      </c>
      <c r="O539" s="22" t="str">
        <f t="shared" si="15"/>
        <v/>
      </c>
      <c r="P539" s="19" t="s">
        <v>97</v>
      </c>
      <c r="Q539" s="375" t="s">
        <v>81</v>
      </c>
      <c r="R539" s="375"/>
      <c r="S539" s="375"/>
      <c r="T539" s="93"/>
      <c r="U539" s="11"/>
      <c r="V539" s="320">
        <v>0</v>
      </c>
      <c r="W539" s="372" t="str">
        <f>IF(OR(G539="Collectors",G539="Special Pricing",G539="Boutique",G539="leafjoy littles",G539="Premium"),
    IF(V539&gt;0,"Show","Hide"),
    IF(V539 &gt;= _xlfn.XLOOKUP(F539,'Min table'!C$3:C$5,),"Show","Hide")
)</f>
        <v>Hide</v>
      </c>
      <c r="X539" s="317" t="s">
        <v>2186</v>
      </c>
      <c r="Y539" s="342" t="s">
        <v>831</v>
      </c>
    </row>
    <row r="540" spans="3:25" ht="18.75" hidden="1" x14ac:dyDescent="0.3">
      <c r="C540" s="322"/>
      <c r="D540" s="9"/>
      <c r="E540" s="9"/>
      <c r="F540" s="21" t="s">
        <v>77</v>
      </c>
      <c r="G540" s="20" t="s">
        <v>691</v>
      </c>
      <c r="H540" s="377" t="s">
        <v>833</v>
      </c>
      <c r="I540" s="377"/>
      <c r="J540" s="377" t="s">
        <v>834</v>
      </c>
      <c r="K540" s="377"/>
      <c r="L540" s="1"/>
      <c r="M540" s="5"/>
      <c r="N540" s="19">
        <v>2.65</v>
      </c>
      <c r="O540" s="22" t="str">
        <f t="shared" si="15"/>
        <v/>
      </c>
      <c r="P540" s="19" t="s">
        <v>97</v>
      </c>
      <c r="Q540" s="375" t="s">
        <v>81</v>
      </c>
      <c r="R540" s="375"/>
      <c r="S540" s="375"/>
      <c r="T540" s="93"/>
      <c r="U540" s="11"/>
      <c r="V540" s="320">
        <v>0</v>
      </c>
      <c r="W540" s="372" t="str">
        <f>IF(OR(G540="Collectors",G540="Special Pricing",G540="Boutique",G540="leafjoy littles",G540="Premium"),
    IF(V540&gt;0,"Show","Hide"),
    IF(V540 &gt;= _xlfn.XLOOKUP(F540,'Min table'!C$3:C$5,),"Show","Hide")
)</f>
        <v>Hide</v>
      </c>
      <c r="X540" s="342" t="s">
        <v>2187</v>
      </c>
      <c r="Y540" s="342" t="s">
        <v>833</v>
      </c>
    </row>
    <row r="541" spans="3:25" ht="18.75" hidden="1" x14ac:dyDescent="0.3">
      <c r="C541" s="322"/>
      <c r="D541" s="9"/>
      <c r="E541" s="9"/>
      <c r="F541" s="21" t="s">
        <v>77</v>
      </c>
      <c r="G541" s="20" t="s">
        <v>691</v>
      </c>
      <c r="H541" s="377" t="s">
        <v>835</v>
      </c>
      <c r="I541" s="377"/>
      <c r="J541" s="377" t="s">
        <v>836</v>
      </c>
      <c r="K541" s="377"/>
      <c r="L541" s="1"/>
      <c r="M541" s="5"/>
      <c r="N541" s="19">
        <v>2.65</v>
      </c>
      <c r="O541" s="22" t="str">
        <f t="shared" ref="O541:O610" si="21">IF(AND(L541="",M541=""),"",(L541*N541)+(M541*(N541+2.1)))</f>
        <v/>
      </c>
      <c r="P541" s="19" t="s">
        <v>97</v>
      </c>
      <c r="Q541" s="375" t="s">
        <v>81</v>
      </c>
      <c r="R541" s="375"/>
      <c r="S541" s="375"/>
      <c r="T541" s="93"/>
      <c r="U541" s="11"/>
      <c r="V541" s="320">
        <v>0</v>
      </c>
      <c r="W541" s="372" t="str">
        <f>IF(OR(G541="Collectors",G541="Special Pricing",G541="Boutique",G541="leafjoy littles",G541="Premium"),
    IF(V541&gt;0,"Show","Hide"),
    IF(V541 &gt;= _xlfn.XLOOKUP(F541,'Min table'!C$3:C$5,),"Show","Hide")
)</f>
        <v>Hide</v>
      </c>
      <c r="X541" s="342" t="s">
        <v>2188</v>
      </c>
      <c r="Y541" s="342" t="s">
        <v>835</v>
      </c>
    </row>
    <row r="542" spans="3:25" ht="18.75" hidden="1" x14ac:dyDescent="0.3">
      <c r="C542" s="322"/>
      <c r="D542" s="9"/>
      <c r="E542" s="9"/>
      <c r="F542" s="21" t="s">
        <v>77</v>
      </c>
      <c r="G542" s="20" t="s">
        <v>691</v>
      </c>
      <c r="H542" s="377" t="s">
        <v>837</v>
      </c>
      <c r="I542" s="377"/>
      <c r="J542" s="377" t="s">
        <v>836</v>
      </c>
      <c r="K542" s="377"/>
      <c r="L542" s="1"/>
      <c r="M542" s="5"/>
      <c r="N542" s="19">
        <v>2.65</v>
      </c>
      <c r="O542" s="22" t="str">
        <f t="shared" si="21"/>
        <v/>
      </c>
      <c r="P542" s="19" t="s">
        <v>97</v>
      </c>
      <c r="Q542" s="375" t="s">
        <v>81</v>
      </c>
      <c r="R542" s="375"/>
      <c r="S542" s="375"/>
      <c r="T542" s="93"/>
      <c r="U542" s="11"/>
      <c r="V542" s="320">
        <v>0</v>
      </c>
      <c r="W542" s="372" t="str">
        <f>IF(OR(G542="Collectors",G542="Special Pricing",G542="Boutique",G542="leafjoy littles",G542="Premium"),
    IF(V542&gt;0,"Show","Hide"),
    IF(V542 &gt;= _xlfn.XLOOKUP(F542,'Min table'!C$3:C$5,),"Show","Hide")
)</f>
        <v>Hide</v>
      </c>
      <c r="X542" s="317" t="s">
        <v>2189</v>
      </c>
      <c r="Y542" s="342" t="s">
        <v>837</v>
      </c>
    </row>
    <row r="543" spans="3:25" ht="18.75" hidden="1" x14ac:dyDescent="0.3">
      <c r="C543" s="322"/>
      <c r="D543" s="9"/>
      <c r="E543" s="9"/>
      <c r="F543" s="21" t="s">
        <v>77</v>
      </c>
      <c r="G543" s="20" t="s">
        <v>691</v>
      </c>
      <c r="H543" s="377" t="s">
        <v>838</v>
      </c>
      <c r="I543" s="377"/>
      <c r="J543" s="377" t="s">
        <v>839</v>
      </c>
      <c r="K543" s="377"/>
      <c r="L543" s="1"/>
      <c r="M543" s="5"/>
      <c r="N543" s="19">
        <v>2.65</v>
      </c>
      <c r="O543" s="22" t="str">
        <f t="shared" si="21"/>
        <v/>
      </c>
      <c r="P543" s="19" t="s">
        <v>97</v>
      </c>
      <c r="Q543" s="375" t="s">
        <v>81</v>
      </c>
      <c r="R543" s="375"/>
      <c r="S543" s="375"/>
      <c r="T543" s="93"/>
      <c r="U543" s="11"/>
      <c r="V543" s="320">
        <v>0</v>
      </c>
      <c r="W543" s="372" t="str">
        <f>IF(OR(G543="Collectors",G543="Special Pricing",G543="Boutique",G543="leafjoy littles",G543="Premium"),
    IF(V543&gt;0,"Show","Hide"),
    IF(V543 &gt;= _xlfn.XLOOKUP(F543,'Min table'!C$3:C$5,),"Show","Hide")
)</f>
        <v>Hide</v>
      </c>
      <c r="X543" s="342" t="s">
        <v>2190</v>
      </c>
      <c r="Y543" s="342" t="s">
        <v>838</v>
      </c>
    </row>
    <row r="544" spans="3:25" ht="18.75" hidden="1" x14ac:dyDescent="0.3">
      <c r="C544" s="322"/>
      <c r="D544" s="9"/>
      <c r="E544" s="9"/>
      <c r="F544" s="21" t="s">
        <v>77</v>
      </c>
      <c r="G544" s="20" t="s">
        <v>691</v>
      </c>
      <c r="H544" s="377" t="s">
        <v>840</v>
      </c>
      <c r="I544" s="377"/>
      <c r="J544" s="377" t="s">
        <v>841</v>
      </c>
      <c r="K544" s="377"/>
      <c r="L544" s="1"/>
      <c r="M544" s="5"/>
      <c r="N544" s="19">
        <v>2.65</v>
      </c>
      <c r="O544" s="22" t="str">
        <f t="shared" si="21"/>
        <v/>
      </c>
      <c r="P544" s="19" t="s">
        <v>97</v>
      </c>
      <c r="Q544" s="375" t="s">
        <v>81</v>
      </c>
      <c r="R544" s="375"/>
      <c r="S544" s="375"/>
      <c r="T544" s="93"/>
      <c r="U544" s="11"/>
      <c r="V544" s="320">
        <v>0</v>
      </c>
      <c r="W544" s="372" t="str">
        <f>IF(OR(G544="Collectors",G544="Special Pricing",G544="Boutique",G544="leafjoy littles",G544="Premium"),
    IF(V544&gt;0,"Show","Hide"),
    IF(V544 &gt;= _xlfn.XLOOKUP(F544,'Min table'!C$3:C$5,),"Show","Hide")
)</f>
        <v>Hide</v>
      </c>
      <c r="X544" s="317" t="s">
        <v>2191</v>
      </c>
      <c r="Y544" s="342" t="s">
        <v>840</v>
      </c>
    </row>
    <row r="545" spans="3:25" ht="18.75" hidden="1" x14ac:dyDescent="0.3">
      <c r="C545" s="322"/>
      <c r="D545" s="9"/>
      <c r="E545" s="9"/>
      <c r="F545" s="21" t="s">
        <v>77</v>
      </c>
      <c r="G545" s="20" t="s">
        <v>691</v>
      </c>
      <c r="H545" s="377" t="s">
        <v>842</v>
      </c>
      <c r="I545" s="377"/>
      <c r="J545" s="377">
        <v>0</v>
      </c>
      <c r="K545" s="377"/>
      <c r="L545" s="1"/>
      <c r="M545" s="5"/>
      <c r="N545" s="19">
        <v>2.65</v>
      </c>
      <c r="O545" s="22" t="str">
        <f t="shared" si="21"/>
        <v/>
      </c>
      <c r="P545" s="19" t="s">
        <v>97</v>
      </c>
      <c r="Q545" s="375" t="s">
        <v>81</v>
      </c>
      <c r="R545" s="375"/>
      <c r="S545" s="375"/>
      <c r="T545" s="93"/>
      <c r="U545" s="11"/>
      <c r="V545" s="320">
        <v>0</v>
      </c>
      <c r="W545" s="372" t="str">
        <f>IF(OR(G545="Collectors",G545="Special Pricing",G545="Boutique",G545="leafjoy littles",G545="Premium"),
    IF(V545&gt;0,"Show","Hide"),
    IF(V545 &gt;= _xlfn.XLOOKUP(F545,'Min table'!C$3:C$5,),"Show","Hide")
)</f>
        <v>Hide</v>
      </c>
      <c r="X545" s="342" t="s">
        <v>2192</v>
      </c>
      <c r="Y545" s="342" t="s">
        <v>842</v>
      </c>
    </row>
    <row r="546" spans="3:25" ht="18.75" hidden="1" x14ac:dyDescent="0.3">
      <c r="C546" s="322"/>
      <c r="D546" s="9"/>
      <c r="E546" s="9"/>
      <c r="F546" s="21" t="s">
        <v>77</v>
      </c>
      <c r="G546" s="20" t="s">
        <v>691</v>
      </c>
      <c r="H546" s="377" t="s">
        <v>843</v>
      </c>
      <c r="I546" s="377"/>
      <c r="J546" s="377" t="s">
        <v>844</v>
      </c>
      <c r="K546" s="377"/>
      <c r="L546" s="1"/>
      <c r="M546" s="5"/>
      <c r="N546" s="19">
        <v>2.65</v>
      </c>
      <c r="O546" s="22" t="str">
        <f t="shared" si="21"/>
        <v/>
      </c>
      <c r="P546" s="19" t="s">
        <v>97</v>
      </c>
      <c r="Q546" s="375" t="s">
        <v>81</v>
      </c>
      <c r="R546" s="375"/>
      <c r="S546" s="375"/>
      <c r="T546" s="93"/>
      <c r="U546" s="11"/>
      <c r="V546" s="320">
        <v>0</v>
      </c>
      <c r="W546" s="372" t="str">
        <f>IF(OR(G546="Collectors",G546="Special Pricing",G546="Boutique",G546="leafjoy littles",G546="Premium"),
    IF(V546&gt;0,"Show","Hide"),
    IF(V546 &gt;= _xlfn.XLOOKUP(F546,'Min table'!C$3:C$5,),"Show","Hide")
)</f>
        <v>Hide</v>
      </c>
      <c r="X546" s="317" t="s">
        <v>2193</v>
      </c>
      <c r="Y546" s="342" t="s">
        <v>843</v>
      </c>
    </row>
    <row r="547" spans="3:25" ht="18.75" hidden="1" x14ac:dyDescent="0.3">
      <c r="C547" s="322"/>
      <c r="D547" s="9"/>
      <c r="E547" s="9"/>
      <c r="F547" s="21" t="s">
        <v>77</v>
      </c>
      <c r="G547" s="20" t="s">
        <v>691</v>
      </c>
      <c r="H547" s="377" t="s">
        <v>845</v>
      </c>
      <c r="I547" s="377"/>
      <c r="J547" s="377" t="s">
        <v>846</v>
      </c>
      <c r="K547" s="377"/>
      <c r="L547" s="1"/>
      <c r="M547" s="5"/>
      <c r="N547" s="19">
        <v>2.65</v>
      </c>
      <c r="O547" s="22" t="str">
        <f t="shared" si="21"/>
        <v/>
      </c>
      <c r="P547" s="19" t="s">
        <v>97</v>
      </c>
      <c r="Q547" s="375" t="s">
        <v>81</v>
      </c>
      <c r="R547" s="375"/>
      <c r="S547" s="375"/>
      <c r="T547" s="93"/>
      <c r="U547" s="11"/>
      <c r="V547" s="320">
        <v>0</v>
      </c>
      <c r="W547" s="372" t="str">
        <f>IF(OR(G547="Collectors",G547="Special Pricing",G547="Boutique",G547="leafjoy littles",G547="Premium"),
    IF(V547&gt;0,"Show","Hide"),
    IF(V547 &gt;= _xlfn.XLOOKUP(F547,'Min table'!C$3:C$5,),"Show","Hide")
)</f>
        <v>Hide</v>
      </c>
      <c r="X547" s="342" t="s">
        <v>2194</v>
      </c>
      <c r="Y547" s="342" t="s">
        <v>845</v>
      </c>
    </row>
    <row r="548" spans="3:25" ht="18.75" hidden="1" x14ac:dyDescent="0.3">
      <c r="C548" s="322"/>
      <c r="D548" s="9"/>
      <c r="E548" s="9"/>
      <c r="F548" s="21" t="s">
        <v>77</v>
      </c>
      <c r="G548" s="20" t="s">
        <v>691</v>
      </c>
      <c r="H548" s="377" t="s">
        <v>847</v>
      </c>
      <c r="I548" s="377"/>
      <c r="J548" s="377" t="s">
        <v>848</v>
      </c>
      <c r="K548" s="377"/>
      <c r="L548" s="1"/>
      <c r="M548" s="5"/>
      <c r="N548" s="19">
        <v>2.65</v>
      </c>
      <c r="O548" s="22" t="str">
        <f t="shared" si="21"/>
        <v/>
      </c>
      <c r="P548" s="19" t="s">
        <v>97</v>
      </c>
      <c r="Q548" s="375" t="s">
        <v>81</v>
      </c>
      <c r="R548" s="375"/>
      <c r="S548" s="375"/>
      <c r="T548" s="93"/>
      <c r="U548" s="11"/>
      <c r="V548" s="320">
        <v>0</v>
      </c>
      <c r="W548" s="372" t="str">
        <f>IF(OR(G548="Collectors",G548="Special Pricing",G548="Boutique",G548="leafjoy littles",G548="Premium"),
    IF(V548&gt;0,"Show","Hide"),
    IF(V548 &gt;= _xlfn.XLOOKUP(F548,'Min table'!C$3:C$5,),"Show","Hide")
)</f>
        <v>Hide</v>
      </c>
      <c r="X548" s="342" t="s">
        <v>2195</v>
      </c>
      <c r="Y548" s="342" t="s">
        <v>847</v>
      </c>
    </row>
    <row r="549" spans="3:25" ht="18.75" hidden="1" x14ac:dyDescent="0.3">
      <c r="C549" s="322"/>
      <c r="D549" s="9"/>
      <c r="E549" s="9"/>
      <c r="F549" s="21" t="s">
        <v>77</v>
      </c>
      <c r="G549" s="20" t="s">
        <v>691</v>
      </c>
      <c r="H549" s="377" t="s">
        <v>849</v>
      </c>
      <c r="I549" s="377"/>
      <c r="J549" s="377" t="s">
        <v>850</v>
      </c>
      <c r="K549" s="377"/>
      <c r="L549" s="1"/>
      <c r="M549" s="5"/>
      <c r="N549" s="19">
        <v>2.65</v>
      </c>
      <c r="O549" s="22" t="str">
        <f t="shared" si="21"/>
        <v/>
      </c>
      <c r="P549" s="19" t="s">
        <v>97</v>
      </c>
      <c r="Q549" s="375" t="s">
        <v>81</v>
      </c>
      <c r="R549" s="375"/>
      <c r="S549" s="375"/>
      <c r="T549" s="93"/>
      <c r="U549" s="11"/>
      <c r="V549" s="320">
        <v>0</v>
      </c>
      <c r="W549" s="372" t="str">
        <f>IF(OR(G549="Collectors",G549="Special Pricing",G549="Boutique",G549="leafjoy littles",G549="Premium"),
    IF(V549&gt;0,"Show","Hide"),
    IF(V549 &gt;= _xlfn.XLOOKUP(F549,'Min table'!C$3:C$5,),"Show","Hide")
)</f>
        <v>Hide</v>
      </c>
      <c r="X549" s="342" t="s">
        <v>2196</v>
      </c>
      <c r="Y549" s="342" t="s">
        <v>849</v>
      </c>
    </row>
    <row r="550" spans="3:25" ht="18.75" hidden="1" x14ac:dyDescent="0.3">
      <c r="C550" s="322"/>
      <c r="D550" s="9"/>
      <c r="E550" s="9"/>
      <c r="F550" s="21" t="s">
        <v>77</v>
      </c>
      <c r="G550" s="20" t="s">
        <v>691</v>
      </c>
      <c r="H550" s="377" t="s">
        <v>1711</v>
      </c>
      <c r="I550" s="377"/>
      <c r="J550" s="377"/>
      <c r="K550" s="377"/>
      <c r="L550" s="1"/>
      <c r="M550" s="5"/>
      <c r="N550" s="19">
        <v>2.65</v>
      </c>
      <c r="O550" s="22" t="str">
        <f t="shared" si="21"/>
        <v/>
      </c>
      <c r="P550" s="19" t="s">
        <v>97</v>
      </c>
      <c r="Q550" s="375" t="s">
        <v>81</v>
      </c>
      <c r="R550" s="375"/>
      <c r="S550" s="375"/>
      <c r="T550" s="93"/>
      <c r="U550" s="11"/>
      <c r="V550" s="320">
        <v>0</v>
      </c>
      <c r="W550" s="372" t="str">
        <f>IF(OR(G550="Collectors",G550="Special Pricing",G550="Boutique",G550="leafjoy littles",G550="Premium"),
    IF(V550&gt;0,"Show","Hide"),
    IF(V550 &gt;= _xlfn.XLOOKUP(F550,'Min table'!C$3:C$5,),"Show","Hide")
)</f>
        <v>Hide</v>
      </c>
      <c r="X550" s="342" t="s">
        <v>2197</v>
      </c>
      <c r="Y550" s="342" t="s">
        <v>1711</v>
      </c>
    </row>
    <row r="551" spans="3:25" ht="18.75" hidden="1" x14ac:dyDescent="0.3">
      <c r="C551" s="322"/>
      <c r="D551" s="9"/>
      <c r="E551" s="9"/>
      <c r="F551" s="21" t="s">
        <v>77</v>
      </c>
      <c r="G551" s="20" t="s">
        <v>691</v>
      </c>
      <c r="H551" s="377" t="s">
        <v>851</v>
      </c>
      <c r="I551" s="377"/>
      <c r="J551" s="377" t="s">
        <v>852</v>
      </c>
      <c r="K551" s="377"/>
      <c r="L551" s="1"/>
      <c r="M551" s="5"/>
      <c r="N551" s="19">
        <v>2.65</v>
      </c>
      <c r="O551" s="22" t="str">
        <f t="shared" si="21"/>
        <v/>
      </c>
      <c r="P551" s="19" t="s">
        <v>97</v>
      </c>
      <c r="Q551" s="375" t="s">
        <v>81</v>
      </c>
      <c r="R551" s="375"/>
      <c r="S551" s="375"/>
      <c r="T551" s="93"/>
      <c r="U551" s="11"/>
      <c r="V551" s="320">
        <v>0</v>
      </c>
      <c r="W551" s="372" t="str">
        <f>IF(OR(G551="Collectors",G551="Special Pricing",G551="Boutique",G551="leafjoy littles",G551="Premium"),
    IF(V551&gt;0,"Show","Hide"),
    IF(V551 &gt;= _xlfn.XLOOKUP(F551,'Min table'!C$3:C$5,),"Show","Hide")
)</f>
        <v>Hide</v>
      </c>
      <c r="X551" s="317" t="s">
        <v>2198</v>
      </c>
      <c r="Y551" s="342" t="s">
        <v>851</v>
      </c>
    </row>
    <row r="552" spans="3:25" ht="18.75" hidden="1" x14ac:dyDescent="0.3">
      <c r="C552" s="322"/>
      <c r="D552" s="9"/>
      <c r="E552" s="9"/>
      <c r="F552" s="21" t="s">
        <v>77</v>
      </c>
      <c r="G552" s="20" t="s">
        <v>691</v>
      </c>
      <c r="H552" s="377" t="s">
        <v>1710</v>
      </c>
      <c r="I552" s="377"/>
      <c r="J552" s="377"/>
      <c r="K552" s="377"/>
      <c r="L552" s="1"/>
      <c r="M552" s="5"/>
      <c r="N552" s="19">
        <v>2.65</v>
      </c>
      <c r="O552" s="22" t="str">
        <f t="shared" si="21"/>
        <v/>
      </c>
      <c r="P552" s="19" t="s">
        <v>97</v>
      </c>
      <c r="Q552" s="375" t="s">
        <v>81</v>
      </c>
      <c r="R552" s="375"/>
      <c r="S552" s="375"/>
      <c r="T552" s="93"/>
      <c r="U552" s="11"/>
      <c r="V552" s="320">
        <v>0</v>
      </c>
      <c r="W552" s="372" t="str">
        <f>IF(OR(G552="Collectors",G552="Special Pricing",G552="Boutique",G552="leafjoy littles",G552="Premium"),
    IF(V552&gt;0,"Show","Hide"),
    IF(V552 &gt;= _xlfn.XLOOKUP(F552,'Min table'!C$3:C$5,),"Show","Hide")
)</f>
        <v>Hide</v>
      </c>
      <c r="X552" s="317" t="s">
        <v>2199</v>
      </c>
      <c r="Y552" s="342" t="s">
        <v>1710</v>
      </c>
    </row>
    <row r="553" spans="3:25" ht="18.75" hidden="1" x14ac:dyDescent="0.3">
      <c r="C553" s="322"/>
      <c r="D553" s="9"/>
      <c r="E553" s="9"/>
      <c r="F553" s="21" t="s">
        <v>77</v>
      </c>
      <c r="G553" s="20" t="s">
        <v>691</v>
      </c>
      <c r="H553" s="377" t="s">
        <v>853</v>
      </c>
      <c r="I553" s="377"/>
      <c r="J553" s="377" t="s">
        <v>854</v>
      </c>
      <c r="K553" s="377"/>
      <c r="L553" s="1"/>
      <c r="M553" s="5"/>
      <c r="N553" s="19">
        <v>2.65</v>
      </c>
      <c r="O553" s="22" t="str">
        <f t="shared" si="21"/>
        <v/>
      </c>
      <c r="P553" s="19" t="s">
        <v>97</v>
      </c>
      <c r="Q553" s="375" t="s">
        <v>81</v>
      </c>
      <c r="R553" s="375"/>
      <c r="S553" s="375"/>
      <c r="T553" s="93"/>
      <c r="U553" s="11"/>
      <c r="V553" s="320">
        <v>0</v>
      </c>
      <c r="W553" s="372" t="str">
        <f>IF(OR(G553="Collectors",G553="Special Pricing",G553="Boutique",G553="leafjoy littles",G553="Premium"),
    IF(V553&gt;0,"Show","Hide"),
    IF(V553 &gt;= _xlfn.XLOOKUP(F553,'Min table'!C$3:C$5,),"Show","Hide")
)</f>
        <v>Hide</v>
      </c>
      <c r="X553" s="342" t="s">
        <v>2200</v>
      </c>
      <c r="Y553" s="317" t="s">
        <v>853</v>
      </c>
    </row>
    <row r="554" spans="3:25" ht="18.75" hidden="1" x14ac:dyDescent="0.3">
      <c r="C554" s="322"/>
      <c r="D554" s="9"/>
      <c r="E554" s="9"/>
      <c r="F554" s="21" t="s">
        <v>77</v>
      </c>
      <c r="G554" s="20" t="s">
        <v>691</v>
      </c>
      <c r="H554" s="377" t="s">
        <v>855</v>
      </c>
      <c r="I554" s="377"/>
      <c r="J554" s="377" t="s">
        <v>856</v>
      </c>
      <c r="K554" s="377"/>
      <c r="L554" s="1"/>
      <c r="M554" s="5"/>
      <c r="N554" s="19">
        <v>2.65</v>
      </c>
      <c r="O554" s="22" t="str">
        <f t="shared" si="21"/>
        <v/>
      </c>
      <c r="P554" s="19" t="s">
        <v>97</v>
      </c>
      <c r="Q554" s="375" t="s">
        <v>81</v>
      </c>
      <c r="R554" s="375"/>
      <c r="S554" s="375"/>
      <c r="T554" s="93"/>
      <c r="U554" s="11"/>
      <c r="V554" s="320">
        <v>0</v>
      </c>
      <c r="W554" s="372" t="str">
        <f>IF(OR(G554="Collectors",G554="Special Pricing",G554="Boutique",G554="leafjoy littles",G554="Premium"),
    IF(V554&gt;0,"Show","Hide"),
    IF(V554 &gt;= _xlfn.XLOOKUP(F554,'Min table'!C$3:C$5,),"Show","Hide")
)</f>
        <v>Hide</v>
      </c>
      <c r="X554" s="342" t="s">
        <v>2201</v>
      </c>
      <c r="Y554" s="317" t="s">
        <v>855</v>
      </c>
    </row>
    <row r="555" spans="3:25" ht="18.75" hidden="1" x14ac:dyDescent="0.3">
      <c r="C555" s="322"/>
      <c r="D555" s="9"/>
      <c r="E555" s="9"/>
      <c r="F555" s="21" t="s">
        <v>77</v>
      </c>
      <c r="G555" s="20" t="s">
        <v>691</v>
      </c>
      <c r="H555" s="377" t="s">
        <v>857</v>
      </c>
      <c r="I555" s="377"/>
      <c r="J555" s="377" t="s">
        <v>858</v>
      </c>
      <c r="K555" s="377"/>
      <c r="L555" s="1"/>
      <c r="M555" s="5"/>
      <c r="N555" s="19">
        <v>2.65</v>
      </c>
      <c r="O555" s="22" t="str">
        <f t="shared" si="21"/>
        <v/>
      </c>
      <c r="P555" s="19" t="s">
        <v>713</v>
      </c>
      <c r="Q555" s="375" t="s">
        <v>81</v>
      </c>
      <c r="R555" s="375"/>
      <c r="S555" s="375"/>
      <c r="T555" s="93"/>
      <c r="U555" s="11"/>
      <c r="V555" s="320">
        <v>0</v>
      </c>
      <c r="W555" s="372" t="str">
        <f>IF(OR(G555="Collectors",G555="Special Pricing",G555="Boutique",G555="leafjoy littles",G555="Premium"),
    IF(V555&gt;0,"Show","Hide"),
    IF(V555 &gt;= _xlfn.XLOOKUP(F555,'Min table'!C$3:C$5,),"Show","Hide")
)</f>
        <v>Hide</v>
      </c>
      <c r="X555" s="317" t="s">
        <v>2202</v>
      </c>
      <c r="Y555" s="317" t="s">
        <v>857</v>
      </c>
    </row>
    <row r="556" spans="3:25" ht="18.75" hidden="1" x14ac:dyDescent="0.3">
      <c r="C556" s="322"/>
      <c r="D556" s="9"/>
      <c r="E556" s="9"/>
      <c r="F556" s="21" t="s">
        <v>77</v>
      </c>
      <c r="G556" s="20" t="s">
        <v>691</v>
      </c>
      <c r="H556" s="377" t="s">
        <v>859</v>
      </c>
      <c r="I556" s="377"/>
      <c r="J556" s="377" t="s">
        <v>860</v>
      </c>
      <c r="K556" s="377"/>
      <c r="L556" s="1"/>
      <c r="M556" s="5"/>
      <c r="N556" s="19">
        <v>2.65</v>
      </c>
      <c r="O556" s="22" t="str">
        <f t="shared" si="21"/>
        <v/>
      </c>
      <c r="P556" s="19" t="s">
        <v>713</v>
      </c>
      <c r="Q556" s="375" t="s">
        <v>81</v>
      </c>
      <c r="R556" s="375"/>
      <c r="S556" s="375"/>
      <c r="T556" s="93"/>
      <c r="U556" s="11"/>
      <c r="V556" s="320">
        <v>0</v>
      </c>
      <c r="W556" s="372" t="str">
        <f>IF(OR(G556="Collectors",G556="Special Pricing",G556="Boutique",G556="leafjoy littles",G556="Premium"),
    IF(V556&gt;0,"Show","Hide"),
    IF(V556 &gt;= _xlfn.XLOOKUP(F556,'Min table'!C$3:C$5,),"Show","Hide")
)</f>
        <v>Hide</v>
      </c>
      <c r="X556" s="317" t="s">
        <v>2203</v>
      </c>
      <c r="Y556" s="317" t="s">
        <v>859</v>
      </c>
    </row>
    <row r="557" spans="3:25" ht="18.75" hidden="1" x14ac:dyDescent="0.3">
      <c r="C557" s="322"/>
      <c r="D557" s="9"/>
      <c r="E557" s="9"/>
      <c r="F557" s="21" t="s">
        <v>77</v>
      </c>
      <c r="G557" s="20" t="s">
        <v>691</v>
      </c>
      <c r="H557" s="377" t="s">
        <v>861</v>
      </c>
      <c r="I557" s="377"/>
      <c r="J557" s="377" t="s">
        <v>862</v>
      </c>
      <c r="K557" s="377"/>
      <c r="L557" s="1"/>
      <c r="M557" s="5"/>
      <c r="N557" s="19">
        <v>2.65</v>
      </c>
      <c r="O557" s="22" t="str">
        <f t="shared" si="21"/>
        <v/>
      </c>
      <c r="P557" s="19" t="s">
        <v>713</v>
      </c>
      <c r="Q557" s="375" t="s">
        <v>81</v>
      </c>
      <c r="R557" s="375"/>
      <c r="S557" s="375"/>
      <c r="T557" s="93"/>
      <c r="U557" s="11"/>
      <c r="V557" s="320">
        <v>0</v>
      </c>
      <c r="W557" s="372" t="str">
        <f>IF(OR(G557="Collectors",G557="Special Pricing",G557="Boutique",G557="leafjoy littles",G557="Premium"),
    IF(V557&gt;0,"Show","Hide"),
    IF(V557 &gt;= _xlfn.XLOOKUP(F557,'Min table'!C$3:C$5,),"Show","Hide")
)</f>
        <v>Hide</v>
      </c>
      <c r="X557" s="317" t="s">
        <v>2204</v>
      </c>
      <c r="Y557" s="317" t="s">
        <v>861</v>
      </c>
    </row>
    <row r="558" spans="3:25" ht="18.75" hidden="1" x14ac:dyDescent="0.3">
      <c r="C558" s="322"/>
      <c r="D558" s="9"/>
      <c r="E558" s="9"/>
      <c r="F558" s="21" t="s">
        <v>77</v>
      </c>
      <c r="G558" s="20" t="s">
        <v>691</v>
      </c>
      <c r="H558" s="377" t="s">
        <v>863</v>
      </c>
      <c r="I558" s="377"/>
      <c r="J558" s="377" t="s">
        <v>864</v>
      </c>
      <c r="K558" s="377"/>
      <c r="L558" s="1"/>
      <c r="M558" s="5"/>
      <c r="N558" s="19">
        <v>2.65</v>
      </c>
      <c r="O558" s="22" t="str">
        <f t="shared" si="21"/>
        <v/>
      </c>
      <c r="P558" s="19" t="s">
        <v>865</v>
      </c>
      <c r="Q558" s="375" t="s">
        <v>81</v>
      </c>
      <c r="R558" s="375"/>
      <c r="S558" s="375"/>
      <c r="T558" s="93"/>
      <c r="U558" s="11"/>
      <c r="V558" s="320">
        <v>0</v>
      </c>
      <c r="W558" s="372" t="str">
        <f>IF(OR(G558="Collectors",G558="Special Pricing",G558="Boutique",G558="leafjoy littles",G558="Premium"),
    IF(V558&gt;0,"Show","Hide"),
    IF(V558 &gt;= _xlfn.XLOOKUP(F558,'Min table'!C$3:C$5,),"Show","Hide")
)</f>
        <v>Hide</v>
      </c>
      <c r="X558" s="342" t="s">
        <v>2205</v>
      </c>
      <c r="Y558" s="317" t="s">
        <v>863</v>
      </c>
    </row>
    <row r="559" spans="3:25" ht="18.75" hidden="1" x14ac:dyDescent="0.3">
      <c r="C559" s="322"/>
      <c r="D559" s="9"/>
      <c r="E559" s="9"/>
      <c r="F559" s="21" t="s">
        <v>77</v>
      </c>
      <c r="G559" s="20" t="s">
        <v>691</v>
      </c>
      <c r="H559" s="377" t="s">
        <v>866</v>
      </c>
      <c r="I559" s="377"/>
      <c r="J559" s="377" t="s">
        <v>867</v>
      </c>
      <c r="K559" s="377"/>
      <c r="L559" s="1"/>
      <c r="M559" s="5"/>
      <c r="N559" s="19">
        <v>2.65</v>
      </c>
      <c r="O559" s="22" t="str">
        <f t="shared" si="21"/>
        <v/>
      </c>
      <c r="P559" s="19" t="s">
        <v>868</v>
      </c>
      <c r="Q559" s="375" t="s">
        <v>81</v>
      </c>
      <c r="R559" s="375"/>
      <c r="S559" s="375"/>
      <c r="T559" s="93"/>
      <c r="U559" s="11"/>
      <c r="V559" s="320">
        <v>0</v>
      </c>
      <c r="W559" s="372" t="str">
        <f>IF(OR(G559="Collectors",G559="Special Pricing",G559="Boutique",G559="leafjoy littles",G559="Premium"),
    IF(V559&gt;0,"Show","Hide"),
    IF(V559 &gt;= _xlfn.XLOOKUP(F559,'Min table'!C$3:C$5,),"Show","Hide")
)</f>
        <v>Hide</v>
      </c>
      <c r="X559" s="317" t="s">
        <v>2206</v>
      </c>
      <c r="Y559" s="317" t="s">
        <v>866</v>
      </c>
    </row>
    <row r="560" spans="3:25" ht="18.75" hidden="1" x14ac:dyDescent="0.3">
      <c r="C560" s="322"/>
      <c r="D560" s="9"/>
      <c r="E560" s="9"/>
      <c r="F560" s="21" t="s">
        <v>77</v>
      </c>
      <c r="G560" s="20" t="s">
        <v>691</v>
      </c>
      <c r="H560" s="377" t="s">
        <v>869</v>
      </c>
      <c r="I560" s="377"/>
      <c r="J560" s="377" t="s">
        <v>870</v>
      </c>
      <c r="K560" s="377"/>
      <c r="L560" s="1"/>
      <c r="M560" s="5"/>
      <c r="N560" s="19">
        <v>2.65</v>
      </c>
      <c r="O560" s="22" t="str">
        <f t="shared" si="21"/>
        <v/>
      </c>
      <c r="P560" s="19" t="s">
        <v>865</v>
      </c>
      <c r="Q560" s="375" t="s">
        <v>81</v>
      </c>
      <c r="R560" s="375"/>
      <c r="S560" s="375"/>
      <c r="T560" s="93"/>
      <c r="U560" s="11"/>
      <c r="V560" s="320">
        <v>0</v>
      </c>
      <c r="W560" s="372" t="str">
        <f>IF(OR(G560="Collectors",G560="Special Pricing",G560="Boutique",G560="leafjoy littles",G560="Premium"),
    IF(V560&gt;0,"Show","Hide"),
    IF(V560 &gt;= _xlfn.XLOOKUP(F560,'Min table'!C$3:C$5,),"Show","Hide")
)</f>
        <v>Hide</v>
      </c>
      <c r="X560" s="342" t="s">
        <v>2207</v>
      </c>
      <c r="Y560" s="317" t="s">
        <v>869</v>
      </c>
    </row>
    <row r="561" spans="3:25" ht="18.75" hidden="1" x14ac:dyDescent="0.3">
      <c r="C561" s="322"/>
      <c r="D561" s="9"/>
      <c r="E561" s="9"/>
      <c r="F561" s="21" t="s">
        <v>77</v>
      </c>
      <c r="G561" s="20" t="s">
        <v>691</v>
      </c>
      <c r="H561" s="377" t="s">
        <v>871</v>
      </c>
      <c r="I561" s="377"/>
      <c r="J561" s="377" t="s">
        <v>872</v>
      </c>
      <c r="K561" s="377"/>
      <c r="L561" s="1"/>
      <c r="M561" s="5"/>
      <c r="N561" s="19">
        <v>2.65</v>
      </c>
      <c r="O561" s="22" t="str">
        <f t="shared" si="21"/>
        <v/>
      </c>
      <c r="P561" s="19" t="s">
        <v>873</v>
      </c>
      <c r="Q561" s="375" t="s">
        <v>81</v>
      </c>
      <c r="R561" s="375"/>
      <c r="S561" s="375"/>
      <c r="T561" s="93"/>
      <c r="U561" s="11"/>
      <c r="V561" s="320">
        <v>0</v>
      </c>
      <c r="W561" s="372" t="str">
        <f>IF(OR(G561="Collectors",G561="Special Pricing",G561="Boutique",G561="leafjoy littles",G561="Premium"),
    IF(V561&gt;0,"Show","Hide"),
    IF(V561 &gt;= _xlfn.XLOOKUP(F561,'Min table'!C$3:C$5,),"Show","Hide")
)</f>
        <v>Hide</v>
      </c>
      <c r="X561" s="342" t="s">
        <v>2208</v>
      </c>
      <c r="Y561" s="317" t="s">
        <v>871</v>
      </c>
    </row>
    <row r="562" spans="3:25" ht="18.75" hidden="1" x14ac:dyDescent="0.3">
      <c r="C562" s="322"/>
      <c r="D562" s="9"/>
      <c r="E562" s="9"/>
      <c r="F562" s="21" t="s">
        <v>77</v>
      </c>
      <c r="G562" s="20" t="s">
        <v>691</v>
      </c>
      <c r="H562" s="377" t="s">
        <v>874</v>
      </c>
      <c r="I562" s="377"/>
      <c r="J562" s="377" t="s">
        <v>875</v>
      </c>
      <c r="K562" s="377"/>
      <c r="L562" s="1"/>
      <c r="M562" s="5"/>
      <c r="N562" s="19">
        <v>2.65</v>
      </c>
      <c r="O562" s="22" t="str">
        <f t="shared" si="21"/>
        <v/>
      </c>
      <c r="P562" s="19" t="s">
        <v>865</v>
      </c>
      <c r="Q562" s="375" t="s">
        <v>81</v>
      </c>
      <c r="R562" s="375"/>
      <c r="S562" s="375"/>
      <c r="T562" s="93"/>
      <c r="U562" s="11"/>
      <c r="V562" s="320">
        <v>0</v>
      </c>
      <c r="W562" s="372" t="str">
        <f>IF(OR(G562="Collectors",G562="Special Pricing",G562="Boutique",G562="leafjoy littles",G562="Premium"),
    IF(V562&gt;0,"Show","Hide"),
    IF(V562 &gt;= _xlfn.XLOOKUP(F562,'Min table'!C$3:C$5,),"Show","Hide")
)</f>
        <v>Hide</v>
      </c>
      <c r="X562" s="342" t="s">
        <v>2209</v>
      </c>
    </row>
    <row r="563" spans="3:25" ht="18.75" hidden="1" x14ac:dyDescent="0.3">
      <c r="C563" s="322"/>
      <c r="D563" s="9"/>
      <c r="E563" s="9"/>
      <c r="F563" s="21" t="s">
        <v>77</v>
      </c>
      <c r="G563" s="20" t="s">
        <v>691</v>
      </c>
      <c r="H563" s="377" t="s">
        <v>2567</v>
      </c>
      <c r="I563" s="377"/>
      <c r="J563" s="377"/>
      <c r="K563" s="377"/>
      <c r="L563" s="1"/>
      <c r="M563" s="5"/>
      <c r="N563" s="19">
        <v>2.65</v>
      </c>
      <c r="O563" s="22" t="str">
        <f t="shared" si="21"/>
        <v/>
      </c>
      <c r="P563" s="19" t="s">
        <v>1862</v>
      </c>
      <c r="Q563" s="375" t="s">
        <v>81</v>
      </c>
      <c r="R563" s="375"/>
      <c r="S563" s="375"/>
      <c r="T563" s="93"/>
      <c r="U563" s="11"/>
      <c r="V563" s="320">
        <v>3</v>
      </c>
      <c r="W563" s="372" t="str">
        <f>IF(OR(G563="Collectors",G563="Special Pricing",G563="Boutique",G563="leafjoy littles",G563="Premium"),
    IF(V563&gt;0,"Show","Hide"),
    IF(V563 &gt;= _xlfn.XLOOKUP(F563,'Min table'!C$3:C$5,),"Show","Hide")
)</f>
        <v>Show</v>
      </c>
      <c r="X563" s="342" t="s">
        <v>2604</v>
      </c>
    </row>
    <row r="564" spans="3:25" ht="18.75" hidden="1" x14ac:dyDescent="0.3">
      <c r="C564" s="322"/>
      <c r="D564" s="9"/>
      <c r="E564" s="9"/>
      <c r="F564" s="21" t="s">
        <v>77</v>
      </c>
      <c r="G564" s="20" t="s">
        <v>691</v>
      </c>
      <c r="H564" s="377" t="s">
        <v>2568</v>
      </c>
      <c r="I564" s="377"/>
      <c r="J564" s="377"/>
      <c r="K564" s="377"/>
      <c r="L564" s="1"/>
      <c r="M564" s="5"/>
      <c r="N564" s="19">
        <v>2.65</v>
      </c>
      <c r="O564" s="22" t="str">
        <f t="shared" ref="O564:O570" si="22">IF(AND(L564="",M564=""),"",(L564*N564)+(M564*(N564+2.1)))</f>
        <v/>
      </c>
      <c r="P564" s="19" t="s">
        <v>1862</v>
      </c>
      <c r="Q564" s="375" t="s">
        <v>81</v>
      </c>
      <c r="R564" s="375"/>
      <c r="S564" s="375"/>
      <c r="T564" s="93"/>
      <c r="U564" s="11"/>
      <c r="V564" s="320">
        <v>3</v>
      </c>
      <c r="W564" s="372" t="str">
        <f>IF(OR(G564="Collectors",G564="Special Pricing",G564="Boutique",G564="leafjoy littles",G564="Premium"),
    IF(V564&gt;0,"Show","Hide"),
    IF(V564 &gt;= _xlfn.XLOOKUP(F564,'Min table'!C$3:C$5,),"Show","Hide")
)</f>
        <v>Show</v>
      </c>
      <c r="X564" s="317" t="s">
        <v>2616</v>
      </c>
    </row>
    <row r="565" spans="3:25" ht="18.75" hidden="1" x14ac:dyDescent="0.3">
      <c r="C565" s="322"/>
      <c r="D565" s="9"/>
      <c r="E565" s="9"/>
      <c r="F565" s="21" t="s">
        <v>77</v>
      </c>
      <c r="G565" s="20" t="s">
        <v>691</v>
      </c>
      <c r="H565" s="377" t="s">
        <v>2569</v>
      </c>
      <c r="I565" s="377"/>
      <c r="J565" s="377"/>
      <c r="K565" s="377"/>
      <c r="L565" s="1"/>
      <c r="M565" s="5"/>
      <c r="N565" s="19">
        <v>2.65</v>
      </c>
      <c r="O565" s="22" t="str">
        <f t="shared" si="22"/>
        <v/>
      </c>
      <c r="P565" s="19" t="s">
        <v>1862</v>
      </c>
      <c r="Q565" s="375" t="s">
        <v>81</v>
      </c>
      <c r="R565" s="375"/>
      <c r="S565" s="375"/>
      <c r="T565" s="93"/>
      <c r="U565" s="11"/>
      <c r="V565" s="320">
        <v>2</v>
      </c>
      <c r="W565" s="372" t="str">
        <f>IF(OR(G565="Collectors",G565="Special Pricing",G565="Boutique",G565="leafjoy littles",G565="Premium"),
    IF(V565&gt;0,"Show","Hide"),
    IF(V565 &gt;= _xlfn.XLOOKUP(F565,'Min table'!C$3:C$5,),"Show","Hide")
)</f>
        <v>Show</v>
      </c>
      <c r="X565" s="342" t="s">
        <v>2605</v>
      </c>
    </row>
    <row r="566" spans="3:25" ht="18.75" hidden="1" x14ac:dyDescent="0.3">
      <c r="C566" s="322"/>
      <c r="D566" s="9"/>
      <c r="E566" s="9"/>
      <c r="F566" s="21" t="s">
        <v>77</v>
      </c>
      <c r="G566" s="20" t="s">
        <v>691</v>
      </c>
      <c r="H566" s="377" t="s">
        <v>2570</v>
      </c>
      <c r="I566" s="377"/>
      <c r="J566" s="377"/>
      <c r="K566" s="377"/>
      <c r="L566" s="1"/>
      <c r="M566" s="5"/>
      <c r="N566" s="19">
        <v>2.65</v>
      </c>
      <c r="O566" s="22" t="str">
        <f t="shared" si="22"/>
        <v/>
      </c>
      <c r="P566" s="19" t="s">
        <v>1862</v>
      </c>
      <c r="Q566" s="375" t="s">
        <v>81</v>
      </c>
      <c r="R566" s="375"/>
      <c r="S566" s="375"/>
      <c r="T566" s="93"/>
      <c r="U566" s="11"/>
      <c r="V566" s="320">
        <v>3</v>
      </c>
      <c r="W566" s="372" t="str">
        <f>IF(OR(G566="Collectors",G566="Special Pricing",G566="Boutique",G566="leafjoy littles",G566="Premium"),
    IF(V566&gt;0,"Show","Hide"),
    IF(V566 &gt;= _xlfn.XLOOKUP(F566,'Min table'!C$3:C$5,),"Show","Hide")
)</f>
        <v>Show</v>
      </c>
      <c r="X566" s="342" t="s">
        <v>2606</v>
      </c>
    </row>
    <row r="567" spans="3:25" ht="18.75" hidden="1" x14ac:dyDescent="0.3">
      <c r="C567" s="322"/>
      <c r="D567" s="9"/>
      <c r="E567" s="9"/>
      <c r="F567" s="21" t="s">
        <v>77</v>
      </c>
      <c r="G567" s="20" t="s">
        <v>691</v>
      </c>
      <c r="H567" s="377" t="s">
        <v>2571</v>
      </c>
      <c r="I567" s="377"/>
      <c r="J567" s="377"/>
      <c r="K567" s="377"/>
      <c r="L567" s="1"/>
      <c r="M567" s="5"/>
      <c r="N567" s="19">
        <v>2.65</v>
      </c>
      <c r="O567" s="22" t="str">
        <f t="shared" si="22"/>
        <v/>
      </c>
      <c r="P567" s="19" t="s">
        <v>1862</v>
      </c>
      <c r="Q567" s="375" t="s">
        <v>81</v>
      </c>
      <c r="R567" s="375"/>
      <c r="S567" s="375"/>
      <c r="T567" s="93"/>
      <c r="U567" s="11"/>
      <c r="V567" s="320">
        <v>3</v>
      </c>
      <c r="W567" s="372" t="str">
        <f>IF(OR(G567="Collectors",G567="Special Pricing",G567="Boutique",G567="leafjoy littles",G567="Premium"),
    IF(V567&gt;0,"Show","Hide"),
    IF(V567 &gt;= _xlfn.XLOOKUP(F567,'Min table'!C$3:C$5,),"Show","Hide")
)</f>
        <v>Show</v>
      </c>
      <c r="X567" s="342" t="s">
        <v>2607</v>
      </c>
    </row>
    <row r="568" spans="3:25" ht="18.75" hidden="1" x14ac:dyDescent="0.3">
      <c r="C568" s="322"/>
      <c r="D568" s="9"/>
      <c r="E568" s="9"/>
      <c r="F568" s="21" t="s">
        <v>77</v>
      </c>
      <c r="G568" s="20" t="s">
        <v>691</v>
      </c>
      <c r="H568" s="377" t="s">
        <v>2572</v>
      </c>
      <c r="I568" s="377"/>
      <c r="J568" s="377"/>
      <c r="K568" s="377"/>
      <c r="L568" s="1"/>
      <c r="M568" s="5"/>
      <c r="N568" s="19">
        <v>2.65</v>
      </c>
      <c r="O568" s="22" t="str">
        <f t="shared" si="22"/>
        <v/>
      </c>
      <c r="P568" s="19" t="s">
        <v>1862</v>
      </c>
      <c r="Q568" s="375" t="s">
        <v>81</v>
      </c>
      <c r="R568" s="375"/>
      <c r="S568" s="375"/>
      <c r="T568" s="93"/>
      <c r="U568" s="11"/>
      <c r="V568" s="320">
        <v>3</v>
      </c>
      <c r="W568" s="372" t="str">
        <f>IF(OR(G568="Collectors",G568="Special Pricing",G568="Boutique",G568="leafjoy littles",G568="Premium"),
    IF(V568&gt;0,"Show","Hide"),
    IF(V568 &gt;= _xlfn.XLOOKUP(F568,'Min table'!C$3:C$5,),"Show","Hide")
)</f>
        <v>Show</v>
      </c>
      <c r="X568" s="342" t="s">
        <v>2608</v>
      </c>
    </row>
    <row r="569" spans="3:25" ht="18.75" hidden="1" x14ac:dyDescent="0.3">
      <c r="C569" s="322"/>
      <c r="D569" s="9"/>
      <c r="E569" s="9"/>
      <c r="F569" s="21" t="s">
        <v>77</v>
      </c>
      <c r="G569" s="20" t="s">
        <v>691</v>
      </c>
      <c r="H569" s="377" t="s">
        <v>1709</v>
      </c>
      <c r="I569" s="377"/>
      <c r="J569" s="377"/>
      <c r="K569" s="377"/>
      <c r="L569" s="1"/>
      <c r="M569" s="5"/>
      <c r="N569" s="19">
        <v>2.65</v>
      </c>
      <c r="O569" s="22" t="str">
        <f t="shared" si="22"/>
        <v/>
      </c>
      <c r="P569" s="19" t="s">
        <v>1862</v>
      </c>
      <c r="Q569" s="375" t="s">
        <v>81</v>
      </c>
      <c r="R569" s="375"/>
      <c r="S569" s="375"/>
      <c r="T569" s="93"/>
      <c r="U569" s="11"/>
      <c r="V569" s="320">
        <v>5</v>
      </c>
      <c r="W569" s="372" t="str">
        <f>IF(OR(G569="Collectors",G569="Special Pricing",G569="Boutique",G569="leafjoy littles",G569="Premium"),
    IF(V569&gt;0,"Show","Hide"),
    IF(V569 &gt;= _xlfn.XLOOKUP(F569,'Min table'!C$3:C$5,),"Show","Hide")
)</f>
        <v>Show</v>
      </c>
      <c r="X569" s="342" t="s">
        <v>2210</v>
      </c>
    </row>
    <row r="570" spans="3:25" ht="18.75" hidden="1" x14ac:dyDescent="0.3">
      <c r="C570" s="322"/>
      <c r="D570" s="9"/>
      <c r="E570" s="9"/>
      <c r="F570" s="21" t="s">
        <v>77</v>
      </c>
      <c r="G570" s="20" t="s">
        <v>691</v>
      </c>
      <c r="H570" s="377" t="s">
        <v>2573</v>
      </c>
      <c r="I570" s="377"/>
      <c r="J570" s="377"/>
      <c r="K570" s="377"/>
      <c r="L570" s="1"/>
      <c r="M570" s="5"/>
      <c r="N570" s="19">
        <v>2.65</v>
      </c>
      <c r="O570" s="22" t="str">
        <f t="shared" si="22"/>
        <v/>
      </c>
      <c r="P570" s="19" t="s">
        <v>1862</v>
      </c>
      <c r="Q570" s="375" t="s">
        <v>81</v>
      </c>
      <c r="R570" s="375"/>
      <c r="S570" s="375"/>
      <c r="T570" s="93"/>
      <c r="U570" s="11"/>
      <c r="V570" s="320">
        <v>3</v>
      </c>
      <c r="W570" s="372" t="str">
        <f>IF(OR(G570="Collectors",G570="Special Pricing",G570="Boutique",G570="leafjoy littles",G570="Premium"),
    IF(V570&gt;0,"Show","Hide"),
    IF(V570 &gt;= _xlfn.XLOOKUP(F570,'Min table'!C$3:C$5,),"Show","Hide")
)</f>
        <v>Show</v>
      </c>
      <c r="X570" s="342" t="s">
        <v>2609</v>
      </c>
    </row>
    <row r="571" spans="3:25" ht="18.75" hidden="1" x14ac:dyDescent="0.3">
      <c r="C571" s="322"/>
      <c r="D571" s="9"/>
      <c r="E571" s="9"/>
      <c r="F571" s="21" t="s">
        <v>77</v>
      </c>
      <c r="G571" s="20" t="s">
        <v>691</v>
      </c>
      <c r="H571" s="377" t="s">
        <v>2595</v>
      </c>
      <c r="I571" s="377"/>
      <c r="J571" s="377"/>
      <c r="K571" s="377"/>
      <c r="L571" s="1"/>
      <c r="M571" s="5"/>
      <c r="N571" s="19">
        <v>2.65</v>
      </c>
      <c r="O571" s="22"/>
      <c r="P571" s="19" t="s">
        <v>814</v>
      </c>
      <c r="Q571" s="375" t="s">
        <v>81</v>
      </c>
      <c r="R571" s="375"/>
      <c r="S571" s="375"/>
      <c r="T571" s="106"/>
      <c r="U571" s="11"/>
      <c r="V571" s="320">
        <v>17</v>
      </c>
      <c r="W571" s="372" t="str">
        <f>IF(OR(G571="Collectors",G571="Special Pricing",G571="Boutique",G571="leafjoy littles",G571="Premium"),
    IF(V571&gt;0,"Show","Hide"),
    IF(V571 &gt;= _xlfn.XLOOKUP(F571,'Min table'!C$3:C$5,),"Show","Hide")
)</f>
        <v>Show</v>
      </c>
      <c r="X571" s="342" t="s">
        <v>2610</v>
      </c>
    </row>
    <row r="572" spans="3:25" ht="18.75" hidden="1" x14ac:dyDescent="0.3">
      <c r="C572" s="322"/>
      <c r="D572" s="9"/>
      <c r="E572" s="9"/>
      <c r="F572" s="21" t="s">
        <v>77</v>
      </c>
      <c r="G572" s="20" t="s">
        <v>691</v>
      </c>
      <c r="H572" s="377" t="s">
        <v>876</v>
      </c>
      <c r="I572" s="377"/>
      <c r="J572" s="377" t="s">
        <v>877</v>
      </c>
      <c r="K572" s="377"/>
      <c r="L572" s="1"/>
      <c r="M572" s="5"/>
      <c r="N572" s="19">
        <v>2.65</v>
      </c>
      <c r="O572" s="22" t="str">
        <f t="shared" si="21"/>
        <v/>
      </c>
      <c r="P572" s="19" t="s">
        <v>878</v>
      </c>
      <c r="Q572" s="375" t="s">
        <v>81</v>
      </c>
      <c r="R572" s="375"/>
      <c r="S572" s="375"/>
      <c r="T572" s="106"/>
      <c r="U572" s="11"/>
      <c r="V572" s="320">
        <v>12</v>
      </c>
      <c r="W572" s="372" t="str">
        <f>IF(OR(G572="Collectors",G572="Special Pricing",G572="Boutique",G572="leafjoy littles",G572="Premium"),
    IF(V572&gt;0,"Show","Hide"),
    IF(V572 &gt;= _xlfn.XLOOKUP(F572,'Min table'!C$3:C$5,),"Show","Hide")
)</f>
        <v>Show</v>
      </c>
      <c r="X572" s="342" t="s">
        <v>2211</v>
      </c>
    </row>
    <row r="573" spans="3:25" ht="18.75" hidden="1" x14ac:dyDescent="0.3">
      <c r="C573" s="322"/>
      <c r="D573" s="9"/>
      <c r="E573" s="9"/>
      <c r="F573" s="21" t="s">
        <v>77</v>
      </c>
      <c r="G573" s="20" t="s">
        <v>691</v>
      </c>
      <c r="H573" s="377" t="s">
        <v>876</v>
      </c>
      <c r="I573" s="377"/>
      <c r="J573" s="377" t="s">
        <v>877</v>
      </c>
      <c r="K573" s="377"/>
      <c r="L573" s="1"/>
      <c r="M573" s="5"/>
      <c r="N573" s="19">
        <v>2.65</v>
      </c>
      <c r="O573" s="22" t="str">
        <f t="shared" si="21"/>
        <v/>
      </c>
      <c r="P573" s="19" t="s">
        <v>878</v>
      </c>
      <c r="Q573" s="375" t="s">
        <v>81</v>
      </c>
      <c r="R573" s="375"/>
      <c r="S573" s="375"/>
      <c r="T573" s="106"/>
      <c r="U573" s="11"/>
      <c r="V573" s="320">
        <v>12</v>
      </c>
      <c r="W573" s="372" t="str">
        <f>IF(OR(G573="Collectors",G573="Special Pricing",G573="Boutique",G573="leafjoy littles",G573="Premium"),
    IF(V573&gt;0,"Show","Hide"),
    IF(V573 &gt;= _xlfn.XLOOKUP(F573,'Min table'!C$3:C$5,),"Show","Hide")
)</f>
        <v>Show</v>
      </c>
      <c r="X573" s="317" t="s">
        <v>2211</v>
      </c>
      <c r="Y573" s="317" t="s">
        <v>876</v>
      </c>
    </row>
    <row r="574" spans="3:25" ht="18.75" hidden="1" x14ac:dyDescent="0.3">
      <c r="C574" s="322"/>
      <c r="D574" s="9"/>
      <c r="E574" s="9"/>
      <c r="F574" s="21" t="s">
        <v>77</v>
      </c>
      <c r="G574" s="20" t="s">
        <v>691</v>
      </c>
      <c r="H574" s="377" t="s">
        <v>879</v>
      </c>
      <c r="I574" s="377"/>
      <c r="J574" s="377" t="s">
        <v>880</v>
      </c>
      <c r="K574" s="377"/>
      <c r="L574" s="1"/>
      <c r="M574" s="5"/>
      <c r="N574" s="19">
        <v>2.65</v>
      </c>
      <c r="O574" s="22" t="str">
        <f t="shared" si="21"/>
        <v/>
      </c>
      <c r="P574" s="19" t="s">
        <v>881</v>
      </c>
      <c r="Q574" s="375" t="s">
        <v>81</v>
      </c>
      <c r="R574" s="375"/>
      <c r="S574" s="375"/>
      <c r="T574" s="93"/>
      <c r="U574" s="11"/>
      <c r="V574" s="320">
        <v>0</v>
      </c>
      <c r="W574" s="372" t="str">
        <f>IF(OR(G574="Collectors",G574="Special Pricing",G574="Boutique",G574="leafjoy littles",G574="Premium"),
    IF(V574&gt;0,"Show","Hide"),
    IF(V574 &gt;= _xlfn.XLOOKUP(F574,'Min table'!C$3:C$5,),"Show","Hide")
)</f>
        <v>Hide</v>
      </c>
      <c r="X574" s="317" t="s">
        <v>2212</v>
      </c>
      <c r="Y574" s="317" t="s">
        <v>879</v>
      </c>
    </row>
    <row r="575" spans="3:25" ht="18.75" hidden="1" x14ac:dyDescent="0.3">
      <c r="C575" s="322"/>
      <c r="D575" s="9"/>
      <c r="E575" s="9"/>
      <c r="F575" s="21" t="s">
        <v>77</v>
      </c>
      <c r="G575" s="20" t="s">
        <v>691</v>
      </c>
      <c r="H575" s="377" t="s">
        <v>882</v>
      </c>
      <c r="I575" s="377"/>
      <c r="J575" s="377" t="s">
        <v>883</v>
      </c>
      <c r="K575" s="377"/>
      <c r="L575" s="1"/>
      <c r="M575" s="5"/>
      <c r="N575" s="19">
        <v>2.65</v>
      </c>
      <c r="O575" s="22" t="str">
        <f t="shared" si="21"/>
        <v/>
      </c>
      <c r="P575" s="19" t="s">
        <v>884</v>
      </c>
      <c r="Q575" s="375" t="s">
        <v>81</v>
      </c>
      <c r="R575" s="375"/>
      <c r="S575" s="375"/>
      <c r="T575" s="93"/>
      <c r="U575" s="11"/>
      <c r="V575" s="320">
        <v>0</v>
      </c>
      <c r="W575" s="372" t="str">
        <f>IF(OR(G575="Collectors",G575="Special Pricing",G575="Boutique",G575="leafjoy littles",G575="Premium"),
    IF(V575&gt;0,"Show","Hide"),
    IF(V575 &gt;= _xlfn.XLOOKUP(F575,'Min table'!C$3:C$5,),"Show","Hide")
)</f>
        <v>Hide</v>
      </c>
      <c r="X575" s="317" t="s">
        <v>2213</v>
      </c>
      <c r="Y575" s="317" t="s">
        <v>882</v>
      </c>
    </row>
    <row r="576" spans="3:25" ht="18.75" hidden="1" x14ac:dyDescent="0.3">
      <c r="C576" s="322"/>
      <c r="D576" s="9"/>
      <c r="E576" s="9"/>
      <c r="F576" s="21" t="s">
        <v>77</v>
      </c>
      <c r="G576" s="20" t="s">
        <v>691</v>
      </c>
      <c r="H576" s="377" t="s">
        <v>885</v>
      </c>
      <c r="I576" s="377"/>
      <c r="J576" s="377" t="s">
        <v>886</v>
      </c>
      <c r="K576" s="377"/>
      <c r="L576" s="1"/>
      <c r="M576" s="5"/>
      <c r="N576" s="19">
        <v>2.65</v>
      </c>
      <c r="O576" s="22" t="str">
        <f t="shared" si="21"/>
        <v/>
      </c>
      <c r="P576" s="19" t="s">
        <v>887</v>
      </c>
      <c r="Q576" s="375" t="s">
        <v>81</v>
      </c>
      <c r="R576" s="375"/>
      <c r="S576" s="375"/>
      <c r="T576" s="93"/>
      <c r="U576" s="11"/>
      <c r="V576" s="320">
        <v>0</v>
      </c>
      <c r="W576" s="372" t="str">
        <f>IF(OR(G576="Collectors",G576="Special Pricing",G576="Boutique",G576="leafjoy littles",G576="Premium"),
    IF(V576&gt;0,"Show","Hide"),
    IF(V576 &gt;= _xlfn.XLOOKUP(F576,'Min table'!C$3:C$5,),"Show","Hide")
)</f>
        <v>Hide</v>
      </c>
      <c r="X576" s="317" t="s">
        <v>2214</v>
      </c>
      <c r="Y576" s="342" t="s">
        <v>885</v>
      </c>
    </row>
    <row r="577" spans="3:25" ht="18.75" hidden="1" x14ac:dyDescent="0.3">
      <c r="C577" s="322"/>
      <c r="D577" s="9"/>
      <c r="E577" s="9"/>
      <c r="F577" s="21" t="s">
        <v>77</v>
      </c>
      <c r="G577" s="20" t="s">
        <v>691</v>
      </c>
      <c r="H577" s="377" t="s">
        <v>888</v>
      </c>
      <c r="I577" s="377"/>
      <c r="J577" s="377" t="s">
        <v>889</v>
      </c>
      <c r="K577" s="377"/>
      <c r="L577" s="1"/>
      <c r="M577" s="5"/>
      <c r="N577" s="19">
        <v>2.65</v>
      </c>
      <c r="O577" s="22" t="str">
        <f t="shared" si="21"/>
        <v/>
      </c>
      <c r="P577" s="19" t="s">
        <v>887</v>
      </c>
      <c r="Q577" s="375" t="s">
        <v>81</v>
      </c>
      <c r="R577" s="375"/>
      <c r="S577" s="375"/>
      <c r="T577" s="93"/>
      <c r="U577" s="11"/>
      <c r="V577" s="320">
        <v>0</v>
      </c>
      <c r="W577" s="372" t="str">
        <f>IF(OR(G577="Collectors",G577="Special Pricing",G577="Boutique",G577="leafjoy littles",G577="Premium"),
    IF(V577&gt;0,"Show","Hide"),
    IF(V577 &gt;= _xlfn.XLOOKUP(F577,'Min table'!C$3:C$5,),"Show","Hide")
)</f>
        <v>Hide</v>
      </c>
      <c r="X577" s="317" t="s">
        <v>2215</v>
      </c>
      <c r="Y577" s="342" t="s">
        <v>888</v>
      </c>
    </row>
    <row r="578" spans="3:25" ht="18.75" hidden="1" x14ac:dyDescent="0.3">
      <c r="C578" s="322"/>
      <c r="D578" s="9"/>
      <c r="E578" s="9"/>
      <c r="F578" s="21" t="s">
        <v>77</v>
      </c>
      <c r="G578" s="20" t="s">
        <v>691</v>
      </c>
      <c r="H578" s="377" t="s">
        <v>890</v>
      </c>
      <c r="I578" s="377"/>
      <c r="J578" s="377" t="s">
        <v>891</v>
      </c>
      <c r="K578" s="377"/>
      <c r="L578" s="1"/>
      <c r="M578" s="5"/>
      <c r="N578" s="19">
        <v>2.65</v>
      </c>
      <c r="O578" s="22" t="str">
        <f t="shared" si="21"/>
        <v/>
      </c>
      <c r="P578" s="19" t="s">
        <v>892</v>
      </c>
      <c r="Q578" s="375" t="s">
        <v>81</v>
      </c>
      <c r="R578" s="375"/>
      <c r="S578" s="375"/>
      <c r="T578" s="93"/>
      <c r="U578" s="11"/>
      <c r="V578" s="320">
        <v>0</v>
      </c>
      <c r="W578" s="372" t="str">
        <f>IF(OR(G578="Collectors",G578="Special Pricing",G578="Boutique",G578="leafjoy littles",G578="Premium"),
    IF(V578&gt;0,"Show","Hide"),
    IF(V578 &gt;= _xlfn.XLOOKUP(F578,'Min table'!C$3:C$5,),"Show","Hide")
)</f>
        <v>Hide</v>
      </c>
      <c r="X578" s="317" t="s">
        <v>2216</v>
      </c>
      <c r="Y578" s="342" t="s">
        <v>890</v>
      </c>
    </row>
    <row r="579" spans="3:25" ht="18.75" hidden="1" x14ac:dyDescent="0.3">
      <c r="C579" s="322"/>
      <c r="D579" s="9"/>
      <c r="E579" s="9"/>
      <c r="F579" s="21" t="s">
        <v>77</v>
      </c>
      <c r="G579" s="20" t="s">
        <v>691</v>
      </c>
      <c r="H579" s="377" t="s">
        <v>893</v>
      </c>
      <c r="I579" s="377"/>
      <c r="J579" s="377" t="s">
        <v>894</v>
      </c>
      <c r="K579" s="377"/>
      <c r="L579" s="1"/>
      <c r="M579" s="5"/>
      <c r="N579" s="19">
        <v>2.65</v>
      </c>
      <c r="O579" s="22" t="str">
        <f t="shared" si="21"/>
        <v/>
      </c>
      <c r="P579" s="19" t="s">
        <v>895</v>
      </c>
      <c r="Q579" s="375" t="s">
        <v>81</v>
      </c>
      <c r="R579" s="375"/>
      <c r="S579" s="375"/>
      <c r="T579" s="93"/>
      <c r="U579" s="11"/>
      <c r="V579" s="320">
        <v>0</v>
      </c>
      <c r="W579" s="372" t="str">
        <f>IF(OR(G579="Collectors",G579="Special Pricing",G579="Boutique",G579="leafjoy littles",G579="Premium"),
    IF(V579&gt;0,"Show","Hide"),
    IF(V579 &gt;= _xlfn.XLOOKUP(F579,'Min table'!C$3:C$5,),"Show","Hide")
)</f>
        <v>Hide</v>
      </c>
      <c r="X579" s="317" t="s">
        <v>2217</v>
      </c>
      <c r="Y579" s="342" t="s">
        <v>893</v>
      </c>
    </row>
    <row r="580" spans="3:25" ht="18.75" hidden="1" x14ac:dyDescent="0.3">
      <c r="C580" s="322"/>
      <c r="D580" s="9"/>
      <c r="E580" s="9"/>
      <c r="F580" s="21" t="s">
        <v>77</v>
      </c>
      <c r="G580" s="20" t="s">
        <v>691</v>
      </c>
      <c r="H580" s="377" t="s">
        <v>896</v>
      </c>
      <c r="I580" s="377"/>
      <c r="J580" s="377" t="s">
        <v>897</v>
      </c>
      <c r="K580" s="377"/>
      <c r="L580" s="1"/>
      <c r="M580" s="5"/>
      <c r="N580" s="19">
        <v>2.65</v>
      </c>
      <c r="O580" s="22" t="str">
        <f t="shared" si="21"/>
        <v/>
      </c>
      <c r="P580" s="19" t="s">
        <v>209</v>
      </c>
      <c r="Q580" s="375" t="s">
        <v>81</v>
      </c>
      <c r="R580" s="375"/>
      <c r="S580" s="375"/>
      <c r="T580" s="93"/>
      <c r="U580" s="11"/>
      <c r="V580" s="320">
        <v>0</v>
      </c>
      <c r="W580" s="372" t="str">
        <f>IF(OR(G580="Collectors",G580="Special Pricing",G580="Boutique",G580="leafjoy littles",G580="Premium"),
    IF(V580&gt;0,"Show","Hide"),
    IF(V580 &gt;= _xlfn.XLOOKUP(F580,'Min table'!C$3:C$5,),"Show","Hide")
)</f>
        <v>Hide</v>
      </c>
      <c r="X580" s="317" t="s">
        <v>2218</v>
      </c>
      <c r="Y580" s="342" t="s">
        <v>896</v>
      </c>
    </row>
    <row r="581" spans="3:25" ht="18.75" hidden="1" x14ac:dyDescent="0.3">
      <c r="C581" s="322"/>
      <c r="D581" s="9"/>
      <c r="E581" s="9"/>
      <c r="F581" s="21" t="s">
        <v>77</v>
      </c>
      <c r="G581" s="20" t="s">
        <v>691</v>
      </c>
      <c r="H581" s="377" t="s">
        <v>898</v>
      </c>
      <c r="I581" s="377"/>
      <c r="J581" s="377" t="s">
        <v>899</v>
      </c>
      <c r="K581" s="377"/>
      <c r="L581" s="1"/>
      <c r="M581" s="5"/>
      <c r="N581" s="19">
        <v>2.65</v>
      </c>
      <c r="O581" s="22" t="str">
        <f t="shared" si="21"/>
        <v/>
      </c>
      <c r="P581" s="19" t="s">
        <v>895</v>
      </c>
      <c r="Q581" s="375" t="s">
        <v>81</v>
      </c>
      <c r="R581" s="375"/>
      <c r="S581" s="375"/>
      <c r="T581" s="93"/>
      <c r="U581" s="11"/>
      <c r="V581" s="320">
        <v>0</v>
      </c>
      <c r="W581" s="372" t="str">
        <f>IF(OR(G581="Collectors",G581="Special Pricing",G581="Boutique",G581="leafjoy littles",G581="Premium"),
    IF(V581&gt;0,"Show","Hide"),
    IF(V581 &gt;= _xlfn.XLOOKUP(F581,'Min table'!C$3:C$5,),"Show","Hide")
)</f>
        <v>Hide</v>
      </c>
      <c r="X581" s="317" t="s">
        <v>2219</v>
      </c>
      <c r="Y581" s="317" t="s">
        <v>898</v>
      </c>
    </row>
    <row r="582" spans="3:25" ht="18.75" hidden="1" x14ac:dyDescent="0.3">
      <c r="C582" s="322"/>
      <c r="D582" s="9"/>
      <c r="E582" s="9"/>
      <c r="F582" s="21" t="s">
        <v>77</v>
      </c>
      <c r="G582" s="20" t="s">
        <v>691</v>
      </c>
      <c r="H582" s="377" t="s">
        <v>900</v>
      </c>
      <c r="I582" s="377"/>
      <c r="J582" s="377" t="s">
        <v>901</v>
      </c>
      <c r="K582" s="377"/>
      <c r="L582" s="1"/>
      <c r="M582" s="5"/>
      <c r="N582" s="19">
        <v>2.65</v>
      </c>
      <c r="O582" s="22" t="str">
        <f t="shared" si="21"/>
        <v/>
      </c>
      <c r="P582" s="19" t="s">
        <v>895</v>
      </c>
      <c r="Q582" s="375" t="s">
        <v>81</v>
      </c>
      <c r="R582" s="375"/>
      <c r="S582" s="375"/>
      <c r="T582" s="93"/>
      <c r="U582" s="11"/>
      <c r="V582" s="320">
        <v>0</v>
      </c>
      <c r="W582" s="372" t="str">
        <f>IF(OR(G582="Collectors",G582="Special Pricing",G582="Boutique",G582="leafjoy littles",G582="Premium"),
    IF(V582&gt;0,"Show","Hide"),
    IF(V582 &gt;= _xlfn.XLOOKUP(F582,'Min table'!C$3:C$5,),"Show","Hide")
)</f>
        <v>Hide</v>
      </c>
      <c r="X582" s="317" t="s">
        <v>2220</v>
      </c>
      <c r="Y582" s="342" t="s">
        <v>900</v>
      </c>
    </row>
    <row r="583" spans="3:25" ht="18.75" hidden="1" x14ac:dyDescent="0.3">
      <c r="C583" s="322"/>
      <c r="D583" s="9"/>
      <c r="E583" s="9"/>
      <c r="F583" s="21" t="s">
        <v>77</v>
      </c>
      <c r="G583" s="20" t="s">
        <v>691</v>
      </c>
      <c r="H583" s="377" t="s">
        <v>902</v>
      </c>
      <c r="I583" s="377"/>
      <c r="J583" s="377" t="s">
        <v>903</v>
      </c>
      <c r="K583" s="377"/>
      <c r="L583" s="1"/>
      <c r="M583" s="5"/>
      <c r="N583" s="19">
        <v>2.65</v>
      </c>
      <c r="O583" s="22" t="str">
        <f t="shared" si="21"/>
        <v/>
      </c>
      <c r="P583" s="19" t="s">
        <v>895</v>
      </c>
      <c r="Q583" s="375" t="s">
        <v>81</v>
      </c>
      <c r="R583" s="375"/>
      <c r="S583" s="375"/>
      <c r="T583" s="93"/>
      <c r="U583" s="11"/>
      <c r="V583" s="320">
        <v>0</v>
      </c>
      <c r="W583" s="372" t="str">
        <f>IF(OR(G583="Collectors",G583="Special Pricing",G583="Boutique",G583="leafjoy littles",G583="Premium"),
    IF(V583&gt;0,"Show","Hide"),
    IF(V583 &gt;= _xlfn.XLOOKUP(F583,'Min table'!C$3:C$5,),"Show","Hide")
)</f>
        <v>Hide</v>
      </c>
      <c r="X583" s="317" t="s">
        <v>2221</v>
      </c>
      <c r="Y583" s="342" t="s">
        <v>902</v>
      </c>
    </row>
    <row r="584" spans="3:25" ht="18.75" hidden="1" x14ac:dyDescent="0.3">
      <c r="C584" s="322"/>
      <c r="D584" s="9"/>
      <c r="E584" s="9"/>
      <c r="F584" s="21" t="s">
        <v>77</v>
      </c>
      <c r="G584" s="20" t="s">
        <v>691</v>
      </c>
      <c r="H584" s="377" t="s">
        <v>904</v>
      </c>
      <c r="I584" s="377"/>
      <c r="J584" s="377" t="s">
        <v>905</v>
      </c>
      <c r="K584" s="377"/>
      <c r="L584" s="1"/>
      <c r="M584" s="5"/>
      <c r="N584" s="19">
        <v>2.65</v>
      </c>
      <c r="O584" s="22" t="str">
        <f t="shared" si="21"/>
        <v/>
      </c>
      <c r="P584" s="19" t="s">
        <v>895</v>
      </c>
      <c r="Q584" s="375" t="s">
        <v>81</v>
      </c>
      <c r="R584" s="375"/>
      <c r="S584" s="375"/>
      <c r="T584" s="93"/>
      <c r="U584" s="11"/>
      <c r="V584" s="320">
        <v>0</v>
      </c>
      <c r="W584" s="372" t="str">
        <f>IF(OR(G584="Collectors",G584="Special Pricing",G584="Boutique",G584="leafjoy littles",G584="Premium"),
    IF(V584&gt;0,"Show","Hide"),
    IF(V584 &gt;= _xlfn.XLOOKUP(F584,'Min table'!C$3:C$5,),"Show","Hide")
)</f>
        <v>Hide</v>
      </c>
      <c r="X584" s="317" t="s">
        <v>2222</v>
      </c>
      <c r="Y584" s="317" t="s">
        <v>904</v>
      </c>
    </row>
    <row r="585" spans="3:25" ht="18.75" hidden="1" x14ac:dyDescent="0.3">
      <c r="C585" s="322"/>
      <c r="D585" s="9"/>
      <c r="E585" s="9"/>
      <c r="F585" s="21" t="s">
        <v>77</v>
      </c>
      <c r="G585" s="20" t="s">
        <v>691</v>
      </c>
      <c r="H585" s="377" t="s">
        <v>904</v>
      </c>
      <c r="I585" s="377"/>
      <c r="J585" s="377" t="s">
        <v>905</v>
      </c>
      <c r="K585" s="377"/>
      <c r="L585" s="1"/>
      <c r="M585" s="5"/>
      <c r="N585" s="19">
        <v>2.65</v>
      </c>
      <c r="O585" s="22" t="str">
        <f t="shared" ref="O585" si="23">IF(AND(L585="",M585=""),"",(L585*N585)+(M585*(N585+2.1)))</f>
        <v/>
      </c>
      <c r="P585" s="19" t="s">
        <v>895</v>
      </c>
      <c r="Q585" s="375" t="s">
        <v>81</v>
      </c>
      <c r="R585" s="375"/>
      <c r="S585" s="375"/>
      <c r="T585" s="93"/>
      <c r="U585" s="11"/>
      <c r="V585" s="320">
        <v>0</v>
      </c>
      <c r="W585" s="372" t="str">
        <f>IF(OR(G585="Collectors",G585="Special Pricing",G585="Boutique",G585="leafjoy littles",G585="Premium"),
    IF(V585&gt;0,"Show","Hide"),
    IF(V585 &gt;= _xlfn.XLOOKUP(F585,'Min table'!C$3:C$5,),"Show","Hide")
)</f>
        <v>Hide</v>
      </c>
      <c r="X585" s="342" t="s">
        <v>2222</v>
      </c>
      <c r="Y585" s="342" t="s">
        <v>904</v>
      </c>
    </row>
    <row r="586" spans="3:25" ht="18.75" hidden="1" x14ac:dyDescent="0.3">
      <c r="C586" s="322"/>
      <c r="D586" s="9"/>
      <c r="E586" s="9"/>
      <c r="F586" s="21" t="s">
        <v>77</v>
      </c>
      <c r="G586" s="20" t="s">
        <v>691</v>
      </c>
      <c r="H586" s="377" t="s">
        <v>1822</v>
      </c>
      <c r="I586" s="377"/>
      <c r="J586" s="377"/>
      <c r="K586" s="377"/>
      <c r="L586" s="1"/>
      <c r="M586" s="5"/>
      <c r="N586" s="19">
        <v>2.65</v>
      </c>
      <c r="O586" s="22" t="str">
        <f>IF(AND(L586="",M586=""),"",(L586*N587)+(M586*(N587+2.1)))</f>
        <v/>
      </c>
      <c r="P586" s="19" t="s">
        <v>895</v>
      </c>
      <c r="Q586" s="375" t="s">
        <v>81</v>
      </c>
      <c r="R586" s="375"/>
      <c r="S586" s="375"/>
      <c r="T586" s="93"/>
      <c r="U586" s="11"/>
      <c r="V586" s="320">
        <v>0</v>
      </c>
      <c r="W586" s="372" t="str">
        <f>IF(OR(G586="Collectors",G586="Special Pricing",G586="Boutique",G586="leafjoy littles",G586="Premium"),
    IF(V586&gt;0,"Show","Hide"),
    IF(V586 &gt;= _xlfn.XLOOKUP(F586,'Min table'!C$3:C$5,),"Show","Hide")
)</f>
        <v>Hide</v>
      </c>
      <c r="X586" s="342" t="s">
        <v>2223</v>
      </c>
      <c r="Y586" s="317" t="s">
        <v>1822</v>
      </c>
    </row>
    <row r="587" spans="3:25" ht="18.75" hidden="1" x14ac:dyDescent="0.3">
      <c r="C587" s="322"/>
      <c r="D587" s="9"/>
      <c r="E587" s="9"/>
      <c r="F587" s="21" t="s">
        <v>77</v>
      </c>
      <c r="G587" s="20" t="s">
        <v>691</v>
      </c>
      <c r="H587" s="377" t="s">
        <v>906</v>
      </c>
      <c r="I587" s="377"/>
      <c r="J587" s="377" t="s">
        <v>907</v>
      </c>
      <c r="K587" s="377"/>
      <c r="L587" s="1"/>
      <c r="M587" s="5"/>
      <c r="N587" s="19">
        <v>2.65</v>
      </c>
      <c r="O587" s="22" t="str">
        <f t="shared" si="21"/>
        <v/>
      </c>
      <c r="P587" s="19" t="s">
        <v>895</v>
      </c>
      <c r="Q587" s="375" t="s">
        <v>81</v>
      </c>
      <c r="R587" s="375"/>
      <c r="S587" s="375"/>
      <c r="T587" s="93"/>
      <c r="U587" s="11"/>
      <c r="V587" s="320">
        <v>0</v>
      </c>
      <c r="W587" s="372" t="str">
        <f>IF(OR(G587="Collectors",G587="Special Pricing",G587="Boutique",G587="leafjoy littles",G587="Premium"),
    IF(V587&gt;0,"Show","Hide"),
    IF(V587 &gt;= _xlfn.XLOOKUP(F587,'Min table'!C$3:C$5,),"Show","Hide")
)</f>
        <v>Hide</v>
      </c>
      <c r="X587" s="342" t="s">
        <v>2224</v>
      </c>
      <c r="Y587" s="317" t="s">
        <v>906</v>
      </c>
    </row>
    <row r="588" spans="3:25" ht="18.75" hidden="1" x14ac:dyDescent="0.3">
      <c r="C588" s="322"/>
      <c r="D588" s="9"/>
      <c r="E588" s="9"/>
      <c r="F588" s="21" t="s">
        <v>77</v>
      </c>
      <c r="G588" s="20" t="s">
        <v>691</v>
      </c>
      <c r="H588" s="377" t="s">
        <v>906</v>
      </c>
      <c r="I588" s="377"/>
      <c r="J588" s="377" t="s">
        <v>907</v>
      </c>
      <c r="K588" s="377"/>
      <c r="L588" s="1"/>
      <c r="M588" s="5"/>
      <c r="N588" s="19">
        <v>2.65</v>
      </c>
      <c r="O588" s="22" t="str">
        <f t="shared" ref="O588" si="24">IF(AND(L588="",M588=""),"",(L588*N588)+(M588*(N588+2.1)))</f>
        <v/>
      </c>
      <c r="P588" s="19" t="s">
        <v>895</v>
      </c>
      <c r="Q588" s="375" t="s">
        <v>81</v>
      </c>
      <c r="R588" s="375"/>
      <c r="S588" s="375"/>
      <c r="T588" s="93"/>
      <c r="U588" s="11"/>
      <c r="V588" s="320">
        <v>0</v>
      </c>
      <c r="W588" s="372" t="str">
        <f>IF(OR(G588="Collectors",G588="Special Pricing",G588="Boutique",G588="leafjoy littles",G588="Premium"),
    IF(V588&gt;0,"Show","Hide"),
    IF(V588 &gt;= _xlfn.XLOOKUP(F588,'Min table'!C$3:C$5,),"Show","Hide")
)</f>
        <v>Hide</v>
      </c>
      <c r="X588" s="317" t="s">
        <v>2224</v>
      </c>
      <c r="Y588" s="317" t="s">
        <v>906</v>
      </c>
    </row>
    <row r="589" spans="3:25" ht="18.75" hidden="1" x14ac:dyDescent="0.3">
      <c r="C589" s="322"/>
      <c r="D589" s="9"/>
      <c r="E589" s="9"/>
      <c r="F589" s="21" t="s">
        <v>77</v>
      </c>
      <c r="G589" s="20" t="s">
        <v>691</v>
      </c>
      <c r="H589" s="377" t="s">
        <v>908</v>
      </c>
      <c r="I589" s="377"/>
      <c r="J589" s="377" t="s">
        <v>909</v>
      </c>
      <c r="K589" s="377"/>
      <c r="L589" s="1"/>
      <c r="M589" s="5"/>
      <c r="N589" s="19">
        <v>2.65</v>
      </c>
      <c r="O589" s="22" t="str">
        <f t="shared" si="21"/>
        <v/>
      </c>
      <c r="P589" s="19" t="s">
        <v>895</v>
      </c>
      <c r="Q589" s="375" t="s">
        <v>81</v>
      </c>
      <c r="R589" s="375"/>
      <c r="S589" s="375"/>
      <c r="T589" s="93"/>
      <c r="U589" s="11"/>
      <c r="V589" s="320">
        <v>0</v>
      </c>
      <c r="W589" s="372" t="str">
        <f>IF(OR(G589="Collectors",G589="Special Pricing",G589="Boutique",G589="leafjoy littles",G589="Premium"),
    IF(V589&gt;0,"Show","Hide"),
    IF(V589 &gt;= _xlfn.XLOOKUP(F589,'Min table'!C$3:C$5,),"Show","Hide")
)</f>
        <v>Hide</v>
      </c>
      <c r="X589" s="317" t="s">
        <v>2225</v>
      </c>
      <c r="Y589" s="317" t="s">
        <v>908</v>
      </c>
    </row>
    <row r="590" spans="3:25" ht="18.75" hidden="1" x14ac:dyDescent="0.3">
      <c r="C590" s="322"/>
      <c r="D590" s="9"/>
      <c r="E590" s="9"/>
      <c r="F590" s="21" t="s">
        <v>77</v>
      </c>
      <c r="G590" s="20" t="s">
        <v>691</v>
      </c>
      <c r="H590" s="377" t="s">
        <v>910</v>
      </c>
      <c r="I590" s="377"/>
      <c r="J590" s="377" t="s">
        <v>911</v>
      </c>
      <c r="K590" s="377"/>
      <c r="L590" s="1"/>
      <c r="M590" s="5"/>
      <c r="N590" s="19">
        <v>2.65</v>
      </c>
      <c r="O590" s="22" t="str">
        <f t="shared" si="21"/>
        <v/>
      </c>
      <c r="P590" s="19" t="s">
        <v>895</v>
      </c>
      <c r="Q590" s="375" t="s">
        <v>81</v>
      </c>
      <c r="R590" s="375"/>
      <c r="S590" s="375"/>
      <c r="T590" s="93"/>
      <c r="U590" s="11"/>
      <c r="V590" s="320">
        <v>0</v>
      </c>
      <c r="W590" s="372" t="str">
        <f>IF(OR(G590="Collectors",G590="Special Pricing",G590="Boutique",G590="leafjoy littles",G590="Premium"),
    IF(V590&gt;0,"Show","Hide"),
    IF(V590 &gt;= _xlfn.XLOOKUP(F590,'Min table'!C$3:C$5,),"Show","Hide")
)</f>
        <v>Hide</v>
      </c>
      <c r="X590" s="317" t="s">
        <v>2226</v>
      </c>
      <c r="Y590" s="317" t="s">
        <v>910</v>
      </c>
    </row>
    <row r="591" spans="3:25" ht="18.75" hidden="1" x14ac:dyDescent="0.3">
      <c r="C591" s="322"/>
      <c r="D591" s="9"/>
      <c r="E591" s="9"/>
      <c r="F591" s="21" t="s">
        <v>77</v>
      </c>
      <c r="G591" s="20" t="s">
        <v>691</v>
      </c>
      <c r="H591" s="377" t="s">
        <v>912</v>
      </c>
      <c r="I591" s="377"/>
      <c r="J591" s="377" t="s">
        <v>913</v>
      </c>
      <c r="K591" s="377"/>
      <c r="L591" s="1"/>
      <c r="M591" s="5"/>
      <c r="N591" s="19">
        <v>2.65</v>
      </c>
      <c r="O591" s="22" t="str">
        <f t="shared" si="21"/>
        <v/>
      </c>
      <c r="P591" s="19" t="s">
        <v>895</v>
      </c>
      <c r="Q591" s="375" t="s">
        <v>81</v>
      </c>
      <c r="R591" s="375"/>
      <c r="S591" s="375"/>
      <c r="T591" s="93"/>
      <c r="U591" s="11"/>
      <c r="V591" s="320">
        <v>0</v>
      </c>
      <c r="W591" s="372" t="str">
        <f>IF(OR(G591="Collectors",G591="Special Pricing",G591="Boutique",G591="leafjoy littles",G591="Premium"),
    IF(V591&gt;0,"Show","Hide"),
    IF(V591 &gt;= _xlfn.XLOOKUP(F591,'Min table'!C$3:C$5,),"Show","Hide")
)</f>
        <v>Hide</v>
      </c>
      <c r="X591" s="317" t="s">
        <v>2227</v>
      </c>
      <c r="Y591" s="317" t="s">
        <v>912</v>
      </c>
    </row>
    <row r="592" spans="3:25" ht="18.75" hidden="1" x14ac:dyDescent="0.3">
      <c r="C592" s="322"/>
      <c r="D592" s="9"/>
      <c r="E592" s="9"/>
      <c r="F592" s="21" t="s">
        <v>77</v>
      </c>
      <c r="G592" s="20" t="s">
        <v>691</v>
      </c>
      <c r="H592" s="377" t="s">
        <v>914</v>
      </c>
      <c r="I592" s="377"/>
      <c r="J592" s="377" t="s">
        <v>915</v>
      </c>
      <c r="K592" s="377"/>
      <c r="L592" s="1"/>
      <c r="M592" s="5"/>
      <c r="N592" s="19">
        <v>2.65</v>
      </c>
      <c r="O592" s="22" t="str">
        <f t="shared" si="21"/>
        <v/>
      </c>
      <c r="P592" s="19" t="s">
        <v>895</v>
      </c>
      <c r="Q592" s="375" t="s">
        <v>81</v>
      </c>
      <c r="R592" s="375"/>
      <c r="S592" s="375"/>
      <c r="T592" s="93"/>
      <c r="U592" s="11"/>
      <c r="V592" s="320">
        <v>0</v>
      </c>
      <c r="W592" s="372" t="str">
        <f>IF(OR(G592="Collectors",G592="Special Pricing",G592="Boutique",G592="leafjoy littles",G592="Premium"),
    IF(V592&gt;0,"Show","Hide"),
    IF(V592 &gt;= _xlfn.XLOOKUP(F592,'Min table'!C$3:C$5,),"Show","Hide")
)</f>
        <v>Hide</v>
      </c>
      <c r="X592" s="317" t="s">
        <v>2228</v>
      </c>
      <c r="Y592" s="317" t="s">
        <v>914</v>
      </c>
    </row>
    <row r="593" spans="3:25" ht="18.75" hidden="1" x14ac:dyDescent="0.3">
      <c r="C593" s="322"/>
      <c r="D593" s="9"/>
      <c r="E593" s="9"/>
      <c r="F593" s="21" t="s">
        <v>77</v>
      </c>
      <c r="G593" s="20" t="s">
        <v>691</v>
      </c>
      <c r="H593" s="377" t="s">
        <v>916</v>
      </c>
      <c r="I593" s="377"/>
      <c r="J593" s="377" t="s">
        <v>917</v>
      </c>
      <c r="K593" s="377"/>
      <c r="L593" s="1"/>
      <c r="M593" s="5"/>
      <c r="N593" s="19">
        <v>2.65</v>
      </c>
      <c r="O593" s="22" t="str">
        <f t="shared" si="21"/>
        <v/>
      </c>
      <c r="P593" s="19" t="s">
        <v>895</v>
      </c>
      <c r="Q593" s="375" t="s">
        <v>81</v>
      </c>
      <c r="R593" s="375"/>
      <c r="S593" s="375"/>
      <c r="T593" s="93"/>
      <c r="U593" s="11"/>
      <c r="V593" s="320">
        <v>0</v>
      </c>
      <c r="W593" s="372" t="str">
        <f>IF(OR(G593="Collectors",G593="Special Pricing",G593="Boutique",G593="leafjoy littles",G593="Premium"),
    IF(V593&gt;0,"Show","Hide"),
    IF(V593 &gt;= _xlfn.XLOOKUP(F593,'Min table'!C$3:C$5,),"Show","Hide")
)</f>
        <v>Hide</v>
      </c>
      <c r="X593" s="317" t="s">
        <v>2229</v>
      </c>
      <c r="Y593" s="317" t="s">
        <v>916</v>
      </c>
    </row>
    <row r="594" spans="3:25" ht="18.75" hidden="1" x14ac:dyDescent="0.3">
      <c r="C594" s="322"/>
      <c r="D594" s="9"/>
      <c r="E594" s="9"/>
      <c r="F594" s="21" t="s">
        <v>77</v>
      </c>
      <c r="G594" s="20" t="s">
        <v>691</v>
      </c>
      <c r="H594" s="377" t="s">
        <v>918</v>
      </c>
      <c r="I594" s="377"/>
      <c r="J594" s="377" t="s">
        <v>919</v>
      </c>
      <c r="K594" s="377"/>
      <c r="L594" s="1"/>
      <c r="M594" s="5"/>
      <c r="N594" s="19">
        <v>2.65</v>
      </c>
      <c r="O594" s="22" t="str">
        <f t="shared" si="21"/>
        <v/>
      </c>
      <c r="P594" s="19" t="s">
        <v>895</v>
      </c>
      <c r="Q594" s="375" t="s">
        <v>81</v>
      </c>
      <c r="R594" s="375"/>
      <c r="S594" s="375"/>
      <c r="T594" s="93"/>
      <c r="U594" s="11"/>
      <c r="V594" s="320">
        <v>0</v>
      </c>
      <c r="W594" s="372" t="str">
        <f>IF(OR(G594="Collectors",G594="Special Pricing",G594="Boutique",G594="leafjoy littles",G594="Premium"),
    IF(V594&gt;0,"Show","Hide"),
    IF(V594 &gt;= _xlfn.XLOOKUP(F594,'Min table'!C$3:C$5,),"Show","Hide")
)</f>
        <v>Hide</v>
      </c>
      <c r="X594" s="317" t="s">
        <v>2230</v>
      </c>
      <c r="Y594" s="317" t="s">
        <v>918</v>
      </c>
    </row>
    <row r="595" spans="3:25" ht="18.75" hidden="1" x14ac:dyDescent="0.3">
      <c r="C595" s="322"/>
      <c r="D595" s="9"/>
      <c r="E595" s="9"/>
      <c r="F595" s="21" t="s">
        <v>77</v>
      </c>
      <c r="G595" s="20" t="s">
        <v>691</v>
      </c>
      <c r="H595" s="377" t="s">
        <v>920</v>
      </c>
      <c r="I595" s="377"/>
      <c r="J595" s="377" t="s">
        <v>921</v>
      </c>
      <c r="K595" s="377"/>
      <c r="L595" s="1"/>
      <c r="M595" s="5"/>
      <c r="N595" s="19">
        <v>2.65</v>
      </c>
      <c r="O595" s="22" t="str">
        <f t="shared" si="21"/>
        <v/>
      </c>
      <c r="P595" s="19" t="s">
        <v>895</v>
      </c>
      <c r="Q595" s="375" t="s">
        <v>81</v>
      </c>
      <c r="R595" s="375"/>
      <c r="S595" s="375"/>
      <c r="T595" s="93"/>
      <c r="U595" s="11"/>
      <c r="V595" s="320">
        <v>0</v>
      </c>
      <c r="W595" s="372" t="str">
        <f>IF(OR(G595="Collectors",G595="Special Pricing",G595="Boutique",G595="leafjoy littles",G595="Premium"),
    IF(V595&gt;0,"Show","Hide"),
    IF(V595 &gt;= _xlfn.XLOOKUP(F595,'Min table'!C$3:C$5,),"Show","Hide")
)</f>
        <v>Hide</v>
      </c>
      <c r="X595" s="317" t="s">
        <v>2231</v>
      </c>
      <c r="Y595" s="317" t="s">
        <v>920</v>
      </c>
    </row>
    <row r="596" spans="3:25" ht="18.75" hidden="1" x14ac:dyDescent="0.3">
      <c r="C596" s="322"/>
      <c r="D596" s="9"/>
      <c r="E596" s="9"/>
      <c r="F596" s="21" t="s">
        <v>77</v>
      </c>
      <c r="G596" s="20" t="s">
        <v>691</v>
      </c>
      <c r="H596" s="377" t="s">
        <v>922</v>
      </c>
      <c r="I596" s="377"/>
      <c r="J596" s="377" t="s">
        <v>923</v>
      </c>
      <c r="K596" s="377"/>
      <c r="L596" s="1"/>
      <c r="M596" s="5"/>
      <c r="N596" s="19">
        <v>2.65</v>
      </c>
      <c r="O596" s="22" t="str">
        <f t="shared" si="21"/>
        <v/>
      </c>
      <c r="P596" s="19" t="s">
        <v>895</v>
      </c>
      <c r="Q596" s="375" t="s">
        <v>81</v>
      </c>
      <c r="R596" s="375"/>
      <c r="S596" s="375"/>
      <c r="T596" s="93"/>
      <c r="U596" s="11"/>
      <c r="V596" s="320">
        <v>0</v>
      </c>
      <c r="W596" s="372" t="str">
        <f>IF(OR(G596="Collectors",G596="Special Pricing",G596="Boutique",G596="leafjoy littles",G596="Premium"),
    IF(V596&gt;0,"Show","Hide"),
    IF(V596 &gt;= _xlfn.XLOOKUP(F596,'Min table'!C$3:C$5,),"Show","Hide")
)</f>
        <v>Hide</v>
      </c>
      <c r="X596" s="317" t="s">
        <v>2232</v>
      </c>
      <c r="Y596" s="317" t="s">
        <v>922</v>
      </c>
    </row>
    <row r="597" spans="3:25" ht="18.75" hidden="1" x14ac:dyDescent="0.3">
      <c r="C597" s="322"/>
      <c r="D597" s="9"/>
      <c r="E597" s="9"/>
      <c r="F597" s="21" t="s">
        <v>77</v>
      </c>
      <c r="G597" s="20" t="s">
        <v>691</v>
      </c>
      <c r="H597" s="377" t="s">
        <v>924</v>
      </c>
      <c r="I597" s="377"/>
      <c r="J597" s="377" t="s">
        <v>925</v>
      </c>
      <c r="K597" s="377"/>
      <c r="L597" s="1"/>
      <c r="M597" s="5"/>
      <c r="N597" s="19">
        <v>2.65</v>
      </c>
      <c r="O597" s="22" t="str">
        <f t="shared" si="21"/>
        <v/>
      </c>
      <c r="P597" s="19" t="s">
        <v>895</v>
      </c>
      <c r="Q597" s="375" t="s">
        <v>81</v>
      </c>
      <c r="R597" s="375"/>
      <c r="S597" s="375"/>
      <c r="T597" s="93"/>
      <c r="U597" s="11"/>
      <c r="V597" s="320">
        <v>0</v>
      </c>
      <c r="W597" s="372" t="str">
        <f>IF(OR(G597="Collectors",G597="Special Pricing",G597="Boutique",G597="leafjoy littles",G597="Premium"),
    IF(V597&gt;0,"Show","Hide"),
    IF(V597 &gt;= _xlfn.XLOOKUP(F597,'Min table'!C$3:C$5,),"Show","Hide")
)</f>
        <v>Hide</v>
      </c>
      <c r="X597" s="317" t="s">
        <v>2233</v>
      </c>
      <c r="Y597" s="317" t="s">
        <v>924</v>
      </c>
    </row>
    <row r="598" spans="3:25" ht="18.75" hidden="1" x14ac:dyDescent="0.3">
      <c r="C598" s="322"/>
      <c r="D598" s="9"/>
      <c r="E598" s="9"/>
      <c r="F598" s="21" t="s">
        <v>77</v>
      </c>
      <c r="G598" s="20" t="s">
        <v>691</v>
      </c>
      <c r="H598" s="377" t="s">
        <v>926</v>
      </c>
      <c r="I598" s="377"/>
      <c r="J598" s="377" t="s">
        <v>927</v>
      </c>
      <c r="K598" s="377"/>
      <c r="L598" s="1"/>
      <c r="M598" s="5"/>
      <c r="N598" s="19">
        <v>2.65</v>
      </c>
      <c r="O598" s="22" t="str">
        <f t="shared" si="21"/>
        <v/>
      </c>
      <c r="P598" s="19" t="s">
        <v>895</v>
      </c>
      <c r="Q598" s="375" t="s">
        <v>81</v>
      </c>
      <c r="R598" s="375"/>
      <c r="S598" s="375"/>
      <c r="T598" s="93"/>
      <c r="U598" s="11"/>
      <c r="V598" s="320">
        <v>0</v>
      </c>
      <c r="W598" s="372" t="str">
        <f>IF(OR(G598="Collectors",G598="Special Pricing",G598="Boutique",G598="leafjoy littles",G598="Premium"),
    IF(V598&gt;0,"Show","Hide"),
    IF(V598 &gt;= _xlfn.XLOOKUP(F598,'Min table'!C$3:C$5,),"Show","Hide")
)</f>
        <v>Hide</v>
      </c>
      <c r="X598" s="317" t="s">
        <v>2234</v>
      </c>
      <c r="Y598" s="317" t="s">
        <v>926</v>
      </c>
    </row>
    <row r="599" spans="3:25" ht="18.75" hidden="1" x14ac:dyDescent="0.3">
      <c r="C599" s="322"/>
      <c r="D599" s="9"/>
      <c r="E599" s="9"/>
      <c r="F599" s="21" t="s">
        <v>77</v>
      </c>
      <c r="G599" s="20" t="s">
        <v>691</v>
      </c>
      <c r="H599" s="377" t="s">
        <v>928</v>
      </c>
      <c r="I599" s="377"/>
      <c r="J599" s="377" t="s">
        <v>929</v>
      </c>
      <c r="K599" s="377"/>
      <c r="L599" s="1"/>
      <c r="M599" s="5"/>
      <c r="N599" s="19">
        <v>2.65</v>
      </c>
      <c r="O599" s="22" t="str">
        <f t="shared" si="21"/>
        <v/>
      </c>
      <c r="P599" s="19" t="s">
        <v>895</v>
      </c>
      <c r="Q599" s="375" t="s">
        <v>81</v>
      </c>
      <c r="R599" s="375"/>
      <c r="S599" s="375"/>
      <c r="T599" s="93"/>
      <c r="U599" s="11"/>
      <c r="V599" s="320">
        <v>0</v>
      </c>
      <c r="W599" s="372" t="str">
        <f>IF(OR(G599="Collectors",G599="Special Pricing",G599="Boutique",G599="leafjoy littles",G599="Premium"),
    IF(V599&gt;0,"Show","Hide"),
    IF(V599 &gt;= _xlfn.XLOOKUP(F599,'Min table'!C$3:C$5,),"Show","Hide")
)</f>
        <v>Hide</v>
      </c>
      <c r="X599" s="317" t="s">
        <v>2235</v>
      </c>
      <c r="Y599" s="317" t="s">
        <v>928</v>
      </c>
    </row>
    <row r="600" spans="3:25" ht="18.75" hidden="1" x14ac:dyDescent="0.3">
      <c r="C600" s="322"/>
      <c r="D600" s="9"/>
      <c r="E600" s="9"/>
      <c r="F600" s="21" t="s">
        <v>77</v>
      </c>
      <c r="G600" s="20" t="s">
        <v>691</v>
      </c>
      <c r="H600" s="377" t="s">
        <v>930</v>
      </c>
      <c r="I600" s="377"/>
      <c r="J600" s="377" t="s">
        <v>931</v>
      </c>
      <c r="K600" s="377"/>
      <c r="L600" s="1"/>
      <c r="M600" s="5"/>
      <c r="N600" s="19">
        <v>2.65</v>
      </c>
      <c r="O600" s="22" t="str">
        <f t="shared" si="21"/>
        <v/>
      </c>
      <c r="P600" s="19" t="s">
        <v>895</v>
      </c>
      <c r="Q600" s="375" t="s">
        <v>81</v>
      </c>
      <c r="R600" s="375"/>
      <c r="S600" s="375"/>
      <c r="T600" s="93"/>
      <c r="U600" s="11"/>
      <c r="V600" s="320">
        <v>0</v>
      </c>
      <c r="W600" s="372" t="str">
        <f>IF(OR(G600="Collectors",G600="Special Pricing",G600="Boutique",G600="leafjoy littles",G600="Premium"),
    IF(V600&gt;0,"Show","Hide"),
    IF(V600 &gt;= _xlfn.XLOOKUP(F600,'Min table'!C$3:C$5,),"Show","Hide")
)</f>
        <v>Hide</v>
      </c>
      <c r="X600" s="317" t="s">
        <v>2236</v>
      </c>
      <c r="Y600" s="317" t="s">
        <v>930</v>
      </c>
    </row>
    <row r="601" spans="3:25" ht="18.75" hidden="1" x14ac:dyDescent="0.3">
      <c r="C601" s="322"/>
      <c r="D601" s="9"/>
      <c r="E601" s="9"/>
      <c r="F601" s="21" t="s">
        <v>77</v>
      </c>
      <c r="G601" s="20" t="s">
        <v>691</v>
      </c>
      <c r="H601" s="377" t="s">
        <v>932</v>
      </c>
      <c r="I601" s="377"/>
      <c r="J601" s="377" t="s">
        <v>933</v>
      </c>
      <c r="K601" s="377"/>
      <c r="L601" s="1"/>
      <c r="M601" s="5"/>
      <c r="N601" s="19">
        <v>2.65</v>
      </c>
      <c r="O601" s="22" t="str">
        <f t="shared" si="21"/>
        <v/>
      </c>
      <c r="P601" s="19" t="s">
        <v>808</v>
      </c>
      <c r="Q601" s="375" t="s">
        <v>81</v>
      </c>
      <c r="R601" s="375"/>
      <c r="S601" s="375"/>
      <c r="T601" s="93"/>
      <c r="U601" s="11"/>
      <c r="V601" s="320">
        <v>0</v>
      </c>
      <c r="W601" s="372" t="str">
        <f>IF(OR(G601="Collectors",G601="Special Pricing",G601="Boutique",G601="leafjoy littles",G601="Premium"),
    IF(V601&gt;0,"Show","Hide"),
    IF(V601 &gt;= _xlfn.XLOOKUP(F601,'Min table'!C$3:C$5,),"Show","Hide")
)</f>
        <v>Hide</v>
      </c>
      <c r="X601" s="317" t="s">
        <v>2237</v>
      </c>
      <c r="Y601" s="317" t="s">
        <v>932</v>
      </c>
    </row>
    <row r="602" spans="3:25" ht="18.75" hidden="1" x14ac:dyDescent="0.3">
      <c r="C602" s="322"/>
      <c r="D602" s="9"/>
      <c r="E602" s="9"/>
      <c r="F602" s="21" t="s">
        <v>77</v>
      </c>
      <c r="G602" s="20" t="s">
        <v>691</v>
      </c>
      <c r="H602" s="377" t="s">
        <v>934</v>
      </c>
      <c r="I602" s="377"/>
      <c r="J602" s="377" t="s">
        <v>935</v>
      </c>
      <c r="K602" s="377"/>
      <c r="L602" s="1"/>
      <c r="M602" s="5"/>
      <c r="N602" s="19">
        <v>2.65</v>
      </c>
      <c r="O602" s="22" t="str">
        <f t="shared" si="21"/>
        <v/>
      </c>
      <c r="P602" s="19" t="s">
        <v>895</v>
      </c>
      <c r="Q602" s="375" t="s">
        <v>81</v>
      </c>
      <c r="R602" s="375"/>
      <c r="S602" s="375"/>
      <c r="T602" s="93"/>
      <c r="U602" s="11"/>
      <c r="V602" s="320">
        <v>0</v>
      </c>
      <c r="W602" s="372" t="str">
        <f>IF(OR(G602="Collectors",G602="Special Pricing",G602="Boutique",G602="leafjoy littles",G602="Premium"),
    IF(V602&gt;0,"Show","Hide"),
    IF(V602 &gt;= _xlfn.XLOOKUP(F602,'Min table'!C$3:C$5,),"Show","Hide")
)</f>
        <v>Hide</v>
      </c>
      <c r="X602" s="317" t="s">
        <v>2238</v>
      </c>
      <c r="Y602" s="317" t="s">
        <v>934</v>
      </c>
    </row>
    <row r="603" spans="3:25" ht="18.75" hidden="1" x14ac:dyDescent="0.3">
      <c r="C603" s="322"/>
      <c r="D603" s="9"/>
      <c r="E603" s="9"/>
      <c r="F603" s="21" t="s">
        <v>77</v>
      </c>
      <c r="G603" s="20" t="s">
        <v>691</v>
      </c>
      <c r="H603" s="377" t="s">
        <v>936</v>
      </c>
      <c r="I603" s="377"/>
      <c r="J603" s="377"/>
      <c r="K603" s="377"/>
      <c r="L603" s="1"/>
      <c r="M603" s="5"/>
      <c r="N603" s="19">
        <v>2.65</v>
      </c>
      <c r="O603" s="22" t="str">
        <f t="shared" si="21"/>
        <v/>
      </c>
      <c r="P603" s="19" t="s">
        <v>895</v>
      </c>
      <c r="Q603" s="375" t="s">
        <v>81</v>
      </c>
      <c r="R603" s="375"/>
      <c r="S603" s="375"/>
      <c r="T603" s="106"/>
      <c r="U603" s="11"/>
      <c r="V603" s="320">
        <v>6</v>
      </c>
      <c r="W603" s="372" t="str">
        <f>IF(OR(G603="Collectors",G603="Special Pricing",G603="Boutique",G603="leafjoy littles",G603="Premium"),
    IF(V603&gt;0,"Show","Hide"),
    IF(V603 &gt;= _xlfn.XLOOKUP(F603,'Min table'!C$3:C$5,),"Show","Hide")
)</f>
        <v>Show</v>
      </c>
      <c r="X603" s="317" t="s">
        <v>2239</v>
      </c>
      <c r="Y603" s="317" t="s">
        <v>936</v>
      </c>
    </row>
    <row r="604" spans="3:25" ht="18.75" x14ac:dyDescent="0.3">
      <c r="C604" s="322"/>
      <c r="D604" s="9"/>
      <c r="E604" s="9"/>
      <c r="F604" s="21" t="s">
        <v>77</v>
      </c>
      <c r="G604" s="20" t="s">
        <v>691</v>
      </c>
      <c r="H604" s="377" t="s">
        <v>2283</v>
      </c>
      <c r="I604" s="377"/>
      <c r="J604" s="377"/>
      <c r="K604" s="377"/>
      <c r="L604" s="1"/>
      <c r="M604" s="5"/>
      <c r="N604" s="19">
        <v>2.65</v>
      </c>
      <c r="O604" s="22" t="str">
        <f t="shared" si="21"/>
        <v/>
      </c>
      <c r="P604" s="19" t="s">
        <v>895</v>
      </c>
      <c r="Q604" s="375" t="s">
        <v>81</v>
      </c>
      <c r="R604" s="375"/>
      <c r="S604" s="375"/>
      <c r="T604" s="106"/>
      <c r="U604" s="11"/>
      <c r="V604" s="320">
        <v>76</v>
      </c>
      <c r="W604" s="372" t="str">
        <f>IF(OR(G604="Collectors",G604="Special Pricing",G604="Boutique",G604="leafjoy littles",G604="Premium"),
    IF(V604&gt;0,"Show","Hide"),
    IF(V604 &gt;= _xlfn.XLOOKUP(F604,'Min table'!C$3:C$5,),"Show","Hide")
)</f>
        <v>Show</v>
      </c>
      <c r="X604" s="317" t="s">
        <v>2617</v>
      </c>
    </row>
    <row r="605" spans="3:25" ht="18.75" hidden="1" x14ac:dyDescent="0.3">
      <c r="C605" s="322"/>
      <c r="D605" s="9"/>
      <c r="E605" s="9"/>
      <c r="F605" s="21" t="s">
        <v>77</v>
      </c>
      <c r="G605" s="20" t="s">
        <v>691</v>
      </c>
      <c r="H605" s="377" t="s">
        <v>2762</v>
      </c>
      <c r="I605" s="377"/>
      <c r="J605" s="377"/>
      <c r="K605" s="377"/>
      <c r="L605" s="1"/>
      <c r="M605" s="5"/>
      <c r="N605" s="19">
        <v>2.65</v>
      </c>
      <c r="O605" s="22"/>
      <c r="P605" s="19" t="s">
        <v>808</v>
      </c>
      <c r="Q605" s="375" t="s">
        <v>81</v>
      </c>
      <c r="R605" s="375"/>
      <c r="S605" s="375"/>
      <c r="T605" s="106"/>
      <c r="U605" s="11"/>
      <c r="V605" s="320">
        <v>0</v>
      </c>
      <c r="W605" s="372" t="str">
        <f>IF(OR(G605="Collectors",G605="Special Pricing",G605="Boutique",G605="leafjoy littles",G605="Premium"),
    IF(V605&gt;0,"Show","Hide"),
    IF(V605 &gt;= _xlfn.XLOOKUP(F605,'Min table'!C$3:C$5,),"Show","Hide")
)</f>
        <v>Hide</v>
      </c>
    </row>
    <row r="606" spans="3:25" ht="18.75" hidden="1" x14ac:dyDescent="0.3">
      <c r="C606" s="322"/>
      <c r="D606" s="9"/>
      <c r="E606" s="9"/>
      <c r="F606" s="21" t="s">
        <v>77</v>
      </c>
      <c r="G606" s="20" t="s">
        <v>691</v>
      </c>
      <c r="H606" s="377" t="s">
        <v>1888</v>
      </c>
      <c r="I606" s="377"/>
      <c r="J606" s="377"/>
      <c r="K606" s="377"/>
      <c r="L606" s="1"/>
      <c r="M606" s="5"/>
      <c r="N606" s="19">
        <v>2.65</v>
      </c>
      <c r="O606" s="22" t="str">
        <f t="shared" ref="O606" si="25">IF(AND(L606="",M606=""),"",(L606*N606)+(M606*(N606+2.1)))</f>
        <v/>
      </c>
      <c r="P606" s="19" t="s">
        <v>157</v>
      </c>
      <c r="Q606" s="375" t="s">
        <v>81</v>
      </c>
      <c r="R606" s="375"/>
      <c r="S606" s="375"/>
      <c r="T606" s="93"/>
      <c r="U606" s="11"/>
      <c r="V606" s="320">
        <v>4</v>
      </c>
      <c r="W606" s="372" t="str">
        <f>IF(OR(G606="Collectors",G606="Special Pricing",G606="Boutique",G606="leafjoy littles",G606="Premium"),
    IF(V606&gt;0,"Show","Hide"),
    IF(V606 &gt;= _xlfn.XLOOKUP(F606,'Min table'!C$3:C$5,),"Show","Hide")
)</f>
        <v>Show</v>
      </c>
      <c r="X606" s="317" t="s">
        <v>2240</v>
      </c>
      <c r="Y606" s="317" t="s">
        <v>1888</v>
      </c>
    </row>
    <row r="607" spans="3:25" ht="18.75" hidden="1" x14ac:dyDescent="0.3">
      <c r="C607" s="322"/>
      <c r="D607" s="9"/>
      <c r="E607" s="9"/>
      <c r="F607" s="21" t="s">
        <v>77</v>
      </c>
      <c r="G607" s="20" t="s">
        <v>691</v>
      </c>
      <c r="H607" s="377" t="s">
        <v>937</v>
      </c>
      <c r="I607" s="377"/>
      <c r="J607" s="377"/>
      <c r="K607" s="377"/>
      <c r="L607" s="1"/>
      <c r="M607" s="5"/>
      <c r="N607" s="19">
        <v>2.65</v>
      </c>
      <c r="O607" s="22" t="str">
        <f t="shared" si="21"/>
        <v/>
      </c>
      <c r="P607" s="19" t="s">
        <v>895</v>
      </c>
      <c r="Q607" s="375" t="s">
        <v>81</v>
      </c>
      <c r="R607" s="375"/>
      <c r="S607" s="375"/>
      <c r="T607" s="93"/>
      <c r="U607" s="11"/>
      <c r="V607" s="320">
        <v>0</v>
      </c>
      <c r="W607" s="372" t="str">
        <f>IF(OR(G607="Collectors",G607="Special Pricing",G607="Boutique",G607="leafjoy littles",G607="Premium"),
    IF(V607&gt;0,"Show","Hide"),
    IF(V607 &gt;= _xlfn.XLOOKUP(F607,'Min table'!C$3:C$5,),"Show","Hide")
)</f>
        <v>Hide</v>
      </c>
      <c r="X607" s="317" t="s">
        <v>2241</v>
      </c>
      <c r="Y607" s="317" t="s">
        <v>937</v>
      </c>
    </row>
    <row r="608" spans="3:25" ht="18.75" hidden="1" x14ac:dyDescent="0.3">
      <c r="C608" s="322"/>
      <c r="D608" s="9"/>
      <c r="E608" s="9"/>
      <c r="F608" s="21" t="s">
        <v>77</v>
      </c>
      <c r="G608" s="20" t="s">
        <v>691</v>
      </c>
      <c r="H608" s="377" t="s">
        <v>938</v>
      </c>
      <c r="I608" s="377"/>
      <c r="J608" s="377"/>
      <c r="K608" s="377"/>
      <c r="L608" s="1"/>
      <c r="M608" s="5"/>
      <c r="N608" s="19">
        <v>2.65</v>
      </c>
      <c r="O608" s="22" t="str">
        <f t="shared" si="21"/>
        <v/>
      </c>
      <c r="P608" s="19" t="s">
        <v>895</v>
      </c>
      <c r="Q608" s="375" t="s">
        <v>81</v>
      </c>
      <c r="R608" s="375"/>
      <c r="S608" s="375"/>
      <c r="T608" s="93"/>
      <c r="U608" s="11"/>
      <c r="V608" s="320">
        <v>0</v>
      </c>
      <c r="W608" s="372" t="str">
        <f>IF(OR(G608="Collectors",G608="Special Pricing",G608="Boutique",G608="leafjoy littles",G608="Premium"),
    IF(V608&gt;0,"Show","Hide"),
    IF(V608 &gt;= _xlfn.XLOOKUP(F608,'Min table'!C$3:C$5,),"Show","Hide")
)</f>
        <v>Hide</v>
      </c>
      <c r="X608" s="317" t="s">
        <v>2242</v>
      </c>
      <c r="Y608" s="317" t="s">
        <v>938</v>
      </c>
    </row>
    <row r="609" spans="3:25" ht="18.75" hidden="1" x14ac:dyDescent="0.3">
      <c r="C609" s="322"/>
      <c r="D609" s="9"/>
      <c r="E609" s="9"/>
      <c r="F609" s="21" t="s">
        <v>77</v>
      </c>
      <c r="G609" s="20" t="s">
        <v>691</v>
      </c>
      <c r="H609" s="377" t="s">
        <v>939</v>
      </c>
      <c r="I609" s="377"/>
      <c r="J609" s="377"/>
      <c r="K609" s="377"/>
      <c r="L609" s="1"/>
      <c r="M609" s="5"/>
      <c r="N609" s="19">
        <v>2.65</v>
      </c>
      <c r="O609" s="22" t="str">
        <f t="shared" si="21"/>
        <v/>
      </c>
      <c r="P609" s="19" t="s">
        <v>940</v>
      </c>
      <c r="Q609" s="375" t="s">
        <v>81</v>
      </c>
      <c r="R609" s="375"/>
      <c r="S609" s="375"/>
      <c r="T609" s="93"/>
      <c r="U609" s="11"/>
      <c r="V609" s="320">
        <v>0</v>
      </c>
      <c r="W609" s="372" t="str">
        <f>IF(OR(G609="Collectors",G609="Special Pricing",G609="Boutique",G609="leafjoy littles",G609="Premium"),
    IF(V609&gt;0,"Show","Hide"),
    IF(V609 &gt;= _xlfn.XLOOKUP(F609,'Min table'!C$3:C$5,),"Show","Hide")
)</f>
        <v>Hide</v>
      </c>
      <c r="X609" s="317" t="s">
        <v>2243</v>
      </c>
      <c r="Y609" s="317" t="s">
        <v>939</v>
      </c>
    </row>
    <row r="610" spans="3:25" ht="18.75" hidden="1" x14ac:dyDescent="0.3">
      <c r="C610" s="322"/>
      <c r="D610" s="9"/>
      <c r="E610" s="9"/>
      <c r="F610" s="21" t="s">
        <v>77</v>
      </c>
      <c r="G610" s="20" t="s">
        <v>691</v>
      </c>
      <c r="H610" s="377" t="s">
        <v>941</v>
      </c>
      <c r="I610" s="377"/>
      <c r="J610" s="377"/>
      <c r="K610" s="377"/>
      <c r="L610" s="1"/>
      <c r="M610" s="5"/>
      <c r="N610" s="19">
        <v>2.65</v>
      </c>
      <c r="O610" s="22" t="str">
        <f t="shared" si="21"/>
        <v/>
      </c>
      <c r="P610" s="19" t="s">
        <v>895</v>
      </c>
      <c r="Q610" s="375" t="s">
        <v>81</v>
      </c>
      <c r="R610" s="375"/>
      <c r="S610" s="375"/>
      <c r="T610" s="93"/>
      <c r="U610" s="11"/>
      <c r="V610" s="320">
        <v>4</v>
      </c>
      <c r="W610" s="372" t="str">
        <f>IF(OR(G610="Collectors",G610="Special Pricing",G610="Boutique",G610="leafjoy littles",G610="Premium"),
    IF(V610&gt;0,"Show","Hide"),
    IF(V610 &gt;= _xlfn.XLOOKUP(F610,'Min table'!C$3:C$5,),"Show","Hide")
)</f>
        <v>Show</v>
      </c>
      <c r="X610" s="317" t="s">
        <v>2244</v>
      </c>
      <c r="Y610" s="317" t="s">
        <v>941</v>
      </c>
    </row>
    <row r="611" spans="3:25" ht="29.25" thickBot="1" x14ac:dyDescent="0.4">
      <c r="C611" s="322"/>
      <c r="D611" s="9"/>
      <c r="E611" s="9"/>
      <c r="F611" s="275"/>
      <c r="G611" s="276"/>
      <c r="H611" s="277"/>
      <c r="I611" s="277"/>
      <c r="J611" s="277"/>
      <c r="K611" s="228" t="s">
        <v>2746</v>
      </c>
      <c r="L611" s="182">
        <f>SUBTOTAL(9,L455:L610)/24</f>
        <v>0</v>
      </c>
      <c r="M611" s="182">
        <f>SUBTOTAL(9,M455:M610)/16</f>
        <v>0</v>
      </c>
      <c r="N611" s="284"/>
      <c r="O611" s="23">
        <f>SUBTOTAL(9,O455:O610)</f>
        <v>0</v>
      </c>
      <c r="P611" s="281"/>
      <c r="Q611" s="282"/>
      <c r="R611" s="224"/>
      <c r="S611" s="283"/>
      <c r="T611" s="105"/>
      <c r="U611" s="11"/>
    </row>
    <row r="612" spans="3:25" ht="29.25" thickTop="1" x14ac:dyDescent="0.25">
      <c r="C612" s="322"/>
      <c r="D612" s="9"/>
      <c r="E612" s="9"/>
      <c r="F612" s="278"/>
      <c r="G612" s="279"/>
      <c r="H612" s="419"/>
      <c r="I612" s="419"/>
      <c r="J612" s="419"/>
      <c r="K612" s="419"/>
      <c r="L612" s="223"/>
      <c r="M612" s="223"/>
      <c r="N612" s="207"/>
      <c r="O612" s="207"/>
      <c r="P612" s="217"/>
      <c r="Q612" s="217"/>
      <c r="R612" s="210"/>
      <c r="S612" s="280"/>
      <c r="T612" s="105"/>
      <c r="U612" s="11"/>
    </row>
    <row r="613" spans="3:25" ht="28.5" x14ac:dyDescent="0.25">
      <c r="C613" s="322"/>
      <c r="D613" s="9"/>
      <c r="E613" s="9"/>
      <c r="F613" s="278"/>
      <c r="G613" s="279"/>
      <c r="H613" s="419" t="s">
        <v>2772</v>
      </c>
      <c r="I613" s="419"/>
      <c r="J613" s="419"/>
      <c r="K613" s="419"/>
      <c r="L613" s="223"/>
      <c r="M613" s="223"/>
      <c r="N613" s="207"/>
      <c r="O613" s="207"/>
      <c r="P613" s="217"/>
      <c r="Q613" s="217"/>
      <c r="R613" s="210"/>
      <c r="S613" s="210"/>
      <c r="T613" s="373"/>
      <c r="U613" s="11"/>
    </row>
    <row r="614" spans="3:25" ht="37.5" x14ac:dyDescent="0.25">
      <c r="C614" s="322"/>
      <c r="D614" s="9"/>
      <c r="E614" s="9"/>
      <c r="F614" s="365"/>
      <c r="G614" s="366"/>
      <c r="H614" s="512" t="s">
        <v>2775</v>
      </c>
      <c r="I614" s="512"/>
      <c r="J614" s="512"/>
      <c r="K614" s="513"/>
      <c r="L614" s="363" t="s">
        <v>28</v>
      </c>
      <c r="M614" s="364" t="s">
        <v>61</v>
      </c>
      <c r="N614" s="204" t="s">
        <v>30</v>
      </c>
      <c r="O614" s="205" t="s">
        <v>31</v>
      </c>
      <c r="P614" s="204" t="s">
        <v>32</v>
      </c>
      <c r="Q614" s="508" t="s">
        <v>33</v>
      </c>
      <c r="R614" s="508"/>
      <c r="S614" s="509"/>
      <c r="T614" s="103"/>
      <c r="U614" s="11"/>
      <c r="V614" s="331"/>
      <c r="W614" s="331"/>
    </row>
    <row r="615" spans="3:25" ht="18.75" hidden="1" x14ac:dyDescent="0.3">
      <c r="C615" s="322"/>
      <c r="D615" s="9"/>
      <c r="E615" s="9"/>
      <c r="F615" s="21" t="s">
        <v>75</v>
      </c>
      <c r="G615" s="20" t="s">
        <v>942</v>
      </c>
      <c r="H615" s="377" t="s">
        <v>943</v>
      </c>
      <c r="I615" s="377"/>
      <c r="J615" s="377" t="s">
        <v>944</v>
      </c>
      <c r="K615" s="377"/>
      <c r="L615" s="1"/>
      <c r="M615" s="2"/>
      <c r="N615" s="19">
        <v>11.5</v>
      </c>
      <c r="O615" s="22" t="str">
        <f t="shared" ref="O615:O691" si="26">IF(AND(L615="",M615=""),"",(L615*N615)+(M615*(N615+2.25)))</f>
        <v/>
      </c>
      <c r="P615" s="19" t="s">
        <v>506</v>
      </c>
      <c r="Q615" s="375" t="s">
        <v>242</v>
      </c>
      <c r="R615" s="375"/>
      <c r="S615" s="375"/>
      <c r="T615" s="93"/>
      <c r="U615" s="11"/>
      <c r="V615" s="320">
        <v>0</v>
      </c>
      <c r="W615" s="372" t="str">
        <f>IF(OR(G615="Collectors",G615="Special Pricing",G615="Boutique",G615="leafjoy littles",G615="Premium"),
    IF(V615&gt;0,"Show","Hide"),
    IF(V615 &gt;= _xlfn.XLOOKUP(F615,'Min table'!C$3:C$5,),"Show","Hide")
)</f>
        <v>Hide</v>
      </c>
      <c r="X615" s="317" t="s">
        <v>2285</v>
      </c>
      <c r="Y615" s="317" t="s">
        <v>2285</v>
      </c>
    </row>
    <row r="616" spans="3:25" ht="18.75" hidden="1" x14ac:dyDescent="0.3">
      <c r="C616" s="322"/>
      <c r="D616" s="9"/>
      <c r="E616" s="9"/>
      <c r="F616" s="21" t="s">
        <v>75</v>
      </c>
      <c r="G616" s="20" t="s">
        <v>945</v>
      </c>
      <c r="H616" s="377" t="s">
        <v>946</v>
      </c>
      <c r="I616" s="377"/>
      <c r="J616" s="377" t="s">
        <v>947</v>
      </c>
      <c r="K616" s="377"/>
      <c r="L616" s="1"/>
      <c r="M616" s="2"/>
      <c r="N616" s="19">
        <v>8.5</v>
      </c>
      <c r="O616" s="22" t="str">
        <f t="shared" si="26"/>
        <v/>
      </c>
      <c r="P616" s="21" t="s">
        <v>349</v>
      </c>
      <c r="Q616" s="375" t="s">
        <v>224</v>
      </c>
      <c r="R616" s="375"/>
      <c r="S616" s="375"/>
      <c r="T616" s="93"/>
      <c r="U616" s="11"/>
      <c r="V616" s="320">
        <v>0</v>
      </c>
      <c r="W616" s="372" t="str">
        <f>IF(OR(G616="Collectors",G616="Special Pricing",G616="Boutique",G616="leafjoy littles",G616="Premium"),
    IF(V616&gt;0,"Show","Hide"),
    IF(V616 &gt;= _xlfn.XLOOKUP(F616,'Min table'!C$3:C$5,),"Show","Hide")
)</f>
        <v>Hide</v>
      </c>
      <c r="X616" s="317" t="s">
        <v>2286</v>
      </c>
      <c r="Y616" s="317" t="s">
        <v>2286</v>
      </c>
    </row>
    <row r="617" spans="3:25" ht="18.75" hidden="1" x14ac:dyDescent="0.3">
      <c r="C617" s="322"/>
      <c r="D617" s="9"/>
      <c r="E617" s="9"/>
      <c r="F617" s="21" t="s">
        <v>75</v>
      </c>
      <c r="G617" s="20" t="s">
        <v>945</v>
      </c>
      <c r="H617" s="377" t="s">
        <v>948</v>
      </c>
      <c r="I617" s="377"/>
      <c r="J617" s="377" t="s">
        <v>949</v>
      </c>
      <c r="K617" s="377"/>
      <c r="L617" s="1"/>
      <c r="M617" s="2"/>
      <c r="N617" s="19">
        <v>8.5</v>
      </c>
      <c r="O617" s="22" t="str">
        <f t="shared" si="26"/>
        <v/>
      </c>
      <c r="P617" s="19" t="s">
        <v>231</v>
      </c>
      <c r="Q617" s="375" t="s">
        <v>224</v>
      </c>
      <c r="R617" s="375"/>
      <c r="S617" s="375"/>
      <c r="T617" s="93"/>
      <c r="U617" s="11"/>
      <c r="V617" s="320">
        <v>0</v>
      </c>
      <c r="W617" s="372" t="str">
        <f>IF(OR(G617="Collectors",G617="Special Pricing",G617="Boutique",G617="leafjoy littles",G617="Premium"),
    IF(V617&gt;0,"Show","Hide"),
    IF(V617 &gt;= _xlfn.XLOOKUP(F617,'Min table'!C$3:C$5,),"Show","Hide")
)</f>
        <v>Hide</v>
      </c>
      <c r="X617" s="317" t="s">
        <v>2287</v>
      </c>
      <c r="Y617" s="317" t="s">
        <v>2287</v>
      </c>
    </row>
    <row r="618" spans="3:25" ht="18.75" hidden="1" x14ac:dyDescent="0.3">
      <c r="C618" s="322"/>
      <c r="D618" s="9"/>
      <c r="E618" s="9"/>
      <c r="F618" s="21" t="s">
        <v>75</v>
      </c>
      <c r="G618" s="20" t="s">
        <v>945</v>
      </c>
      <c r="H618" s="377" t="s">
        <v>950</v>
      </c>
      <c r="I618" s="377"/>
      <c r="J618" s="377" t="s">
        <v>951</v>
      </c>
      <c r="K618" s="377"/>
      <c r="L618" s="1"/>
      <c r="M618" s="2"/>
      <c r="N618" s="19">
        <v>8.5</v>
      </c>
      <c r="O618" s="22" t="str">
        <f t="shared" si="26"/>
        <v/>
      </c>
      <c r="P618" s="19" t="s">
        <v>231</v>
      </c>
      <c r="Q618" s="375" t="s">
        <v>224</v>
      </c>
      <c r="R618" s="375"/>
      <c r="S618" s="375"/>
      <c r="T618" s="93"/>
      <c r="U618" s="11"/>
      <c r="V618" s="320">
        <v>0</v>
      </c>
      <c r="W618" s="372" t="str">
        <f>IF(OR(G618="Collectors",G618="Special Pricing",G618="Boutique",G618="leafjoy littles",G618="Premium"),
    IF(V618&gt;0,"Show","Hide"),
    IF(V618 &gt;= _xlfn.XLOOKUP(F618,'Min table'!C$3:C$5,),"Show","Hide")
)</f>
        <v>Hide</v>
      </c>
      <c r="X618" s="317" t="s">
        <v>2288</v>
      </c>
      <c r="Y618" s="317" t="s">
        <v>2288</v>
      </c>
    </row>
    <row r="619" spans="3:25" ht="18.75" hidden="1" x14ac:dyDescent="0.3">
      <c r="C619" s="322"/>
      <c r="D619" s="9"/>
      <c r="E619" s="9"/>
      <c r="F619" s="21" t="s">
        <v>75</v>
      </c>
      <c r="G619" s="20" t="s">
        <v>945</v>
      </c>
      <c r="H619" s="377" t="s">
        <v>952</v>
      </c>
      <c r="I619" s="377"/>
      <c r="J619" s="377" t="s">
        <v>953</v>
      </c>
      <c r="K619" s="377"/>
      <c r="L619" s="1"/>
      <c r="M619" s="2"/>
      <c r="N619" s="19">
        <v>8.5</v>
      </c>
      <c r="O619" s="22" t="str">
        <f t="shared" si="26"/>
        <v/>
      </c>
      <c r="P619" s="19" t="s">
        <v>389</v>
      </c>
      <c r="Q619" s="375" t="s">
        <v>224</v>
      </c>
      <c r="R619" s="375"/>
      <c r="S619" s="375"/>
      <c r="T619" s="93"/>
      <c r="U619" s="11"/>
      <c r="V619" s="320">
        <v>0</v>
      </c>
      <c r="W619" s="372" t="str">
        <f>IF(OR(G619="Collectors",G619="Special Pricing",G619="Boutique",G619="leafjoy littles",G619="Premium"),
    IF(V619&gt;0,"Show","Hide"),
    IF(V619 &gt;= _xlfn.XLOOKUP(F619,'Min table'!C$3:C$5,),"Show","Hide")
)</f>
        <v>Hide</v>
      </c>
      <c r="X619" s="317" t="s">
        <v>2289</v>
      </c>
      <c r="Y619" s="317" t="s">
        <v>2289</v>
      </c>
    </row>
    <row r="620" spans="3:25" ht="18.75" hidden="1" x14ac:dyDescent="0.3">
      <c r="C620" s="322"/>
      <c r="D620" s="9"/>
      <c r="E620" s="9"/>
      <c r="F620" s="21" t="s">
        <v>75</v>
      </c>
      <c r="G620" s="20" t="s">
        <v>942</v>
      </c>
      <c r="H620" s="377" t="s">
        <v>954</v>
      </c>
      <c r="I620" s="377"/>
      <c r="J620" s="377" t="s">
        <v>955</v>
      </c>
      <c r="K620" s="377"/>
      <c r="L620" s="1"/>
      <c r="M620" s="2"/>
      <c r="N620" s="19">
        <v>11.5</v>
      </c>
      <c r="O620" s="22" t="str">
        <f t="shared" si="26"/>
        <v/>
      </c>
      <c r="P620" s="19" t="s">
        <v>389</v>
      </c>
      <c r="Q620" s="375" t="s">
        <v>242</v>
      </c>
      <c r="R620" s="375"/>
      <c r="S620" s="375"/>
      <c r="T620" s="93"/>
      <c r="U620" s="11"/>
      <c r="V620" s="320">
        <v>0</v>
      </c>
      <c r="W620" s="372" t="str">
        <f>IF(OR(G620="Collectors",G620="Special Pricing",G620="Boutique",G620="leafjoy littles",G620="Premium"),
    IF(V620&gt;0,"Show","Hide"),
    IF(V620 &gt;= _xlfn.XLOOKUP(F620,'Min table'!C$3:C$5,),"Show","Hide")
)</f>
        <v>Hide</v>
      </c>
      <c r="X620" s="317" t="s">
        <v>2290</v>
      </c>
      <c r="Y620" s="317" t="s">
        <v>2290</v>
      </c>
    </row>
    <row r="621" spans="3:25" ht="18.75" hidden="1" x14ac:dyDescent="0.3">
      <c r="C621" s="322"/>
      <c r="D621" s="9"/>
      <c r="E621" s="9"/>
      <c r="F621" s="21" t="s">
        <v>75</v>
      </c>
      <c r="G621" s="20" t="s">
        <v>945</v>
      </c>
      <c r="H621" s="377" t="s">
        <v>956</v>
      </c>
      <c r="I621" s="377"/>
      <c r="J621" s="377" t="s">
        <v>957</v>
      </c>
      <c r="K621" s="377"/>
      <c r="L621" s="1"/>
      <c r="M621" s="2"/>
      <c r="N621" s="19">
        <v>8.5</v>
      </c>
      <c r="O621" s="22" t="str">
        <f t="shared" si="26"/>
        <v/>
      </c>
      <c r="P621" s="19" t="s">
        <v>231</v>
      </c>
      <c r="Q621" s="375" t="s">
        <v>224</v>
      </c>
      <c r="R621" s="375"/>
      <c r="S621" s="375"/>
      <c r="T621" s="93"/>
      <c r="U621" s="11"/>
      <c r="V621" s="320">
        <v>0</v>
      </c>
      <c r="W621" s="372" t="str">
        <f>IF(OR(G621="Collectors",G621="Special Pricing",G621="Boutique",G621="leafjoy littles",G621="Premium"),
    IF(V621&gt;0,"Show","Hide"),
    IF(V621 &gt;= _xlfn.XLOOKUP(F621,'Min table'!C$3:C$5,),"Show","Hide")
)</f>
        <v>Hide</v>
      </c>
      <c r="X621" s="317" t="s">
        <v>2291</v>
      </c>
      <c r="Y621" s="317" t="s">
        <v>2291</v>
      </c>
    </row>
    <row r="622" spans="3:25" ht="18.75" hidden="1" x14ac:dyDescent="0.3">
      <c r="C622" s="322"/>
      <c r="D622" s="9"/>
      <c r="E622" s="9"/>
      <c r="F622" s="21" t="s">
        <v>75</v>
      </c>
      <c r="G622" s="20" t="s">
        <v>945</v>
      </c>
      <c r="H622" s="377" t="s">
        <v>1880</v>
      </c>
      <c r="I622" s="377"/>
      <c r="J622" s="377"/>
      <c r="K622" s="377"/>
      <c r="L622" s="1"/>
      <c r="M622" s="2"/>
      <c r="N622" s="19">
        <v>8.5</v>
      </c>
      <c r="O622" s="22" t="str">
        <f t="shared" ref="O622" si="27">IF(AND(L622="",M622=""),"",(L622*N622)+(M622*(N622+2.25)))</f>
        <v/>
      </c>
      <c r="P622" s="19" t="s">
        <v>349</v>
      </c>
      <c r="Q622" s="375" t="s">
        <v>224</v>
      </c>
      <c r="R622" s="375"/>
      <c r="S622" s="375"/>
      <c r="T622" s="93"/>
      <c r="U622" s="11"/>
      <c r="V622" s="320">
        <v>4</v>
      </c>
      <c r="W622" s="372" t="str">
        <f>IF(OR(G622="Collectors",G622="Special Pricing",G622="Boutique",G622="leafjoy littles",G622="Premium"),
    IF(V622&gt;0,"Show","Hide"),
    IF(V622 &gt;= _xlfn.XLOOKUP(F622,'Min table'!C$3:C$5,),"Show","Hide")
)</f>
        <v>Show</v>
      </c>
      <c r="X622" s="317" t="s">
        <v>2292</v>
      </c>
      <c r="Y622" s="317" t="s">
        <v>2292</v>
      </c>
    </row>
    <row r="623" spans="3:25" ht="18.75" x14ac:dyDescent="0.3">
      <c r="C623" s="322"/>
      <c r="D623" s="9"/>
      <c r="E623" s="9"/>
      <c r="F623" s="21" t="s">
        <v>75</v>
      </c>
      <c r="G623" s="20" t="s">
        <v>942</v>
      </c>
      <c r="H623" s="377" t="s">
        <v>958</v>
      </c>
      <c r="I623" s="377"/>
      <c r="J623" s="377" t="s">
        <v>959</v>
      </c>
      <c r="K623" s="377"/>
      <c r="L623" s="1"/>
      <c r="M623" s="2"/>
      <c r="N623" s="19">
        <v>11.5</v>
      </c>
      <c r="O623" s="22" t="str">
        <f t="shared" si="26"/>
        <v/>
      </c>
      <c r="P623" s="21" t="s">
        <v>349</v>
      </c>
      <c r="Q623" s="375" t="s">
        <v>242</v>
      </c>
      <c r="R623" s="375"/>
      <c r="S623" s="375"/>
      <c r="T623" s="106"/>
      <c r="U623" s="11"/>
      <c r="V623" s="320">
        <v>58</v>
      </c>
      <c r="W623" s="372" t="str">
        <f>IF(OR(G623="Collectors",G623="Special Pricing",G623="Boutique",G623="leafjoy littles",G623="Premium"),
    IF(V623&gt;0,"Show","Hide"),
    IF(V623 &gt;= _xlfn.XLOOKUP(F623,'Min table'!C$3:C$5,),"Show","Hide")
)</f>
        <v>Show</v>
      </c>
      <c r="X623" s="317" t="s">
        <v>2293</v>
      </c>
      <c r="Y623" s="317" t="s">
        <v>2293</v>
      </c>
    </row>
    <row r="624" spans="3:25" ht="18.75" hidden="1" x14ac:dyDescent="0.3">
      <c r="C624" s="322"/>
      <c r="D624" s="9"/>
      <c r="E624" s="9"/>
      <c r="F624" s="21" t="s">
        <v>75</v>
      </c>
      <c r="G624" s="20" t="s">
        <v>945</v>
      </c>
      <c r="H624" s="377" t="s">
        <v>1721</v>
      </c>
      <c r="I624" s="377"/>
      <c r="J624" s="377" t="s">
        <v>957</v>
      </c>
      <c r="K624" s="377"/>
      <c r="L624" s="1"/>
      <c r="M624" s="2"/>
      <c r="N624" s="19">
        <v>8.5</v>
      </c>
      <c r="O624" s="22" t="str">
        <f t="shared" ref="O624" si="28">IF(AND(L624="",M624=""),"",(L624*N624)+(M624*(N624+2.25)))</f>
        <v/>
      </c>
      <c r="P624" s="19" t="s">
        <v>231</v>
      </c>
      <c r="Q624" s="375" t="s">
        <v>224</v>
      </c>
      <c r="R624" s="375"/>
      <c r="S624" s="375"/>
      <c r="T624" s="93"/>
      <c r="U624" s="11"/>
      <c r="V624" s="320">
        <v>0</v>
      </c>
      <c r="W624" s="372" t="str">
        <f>IF(OR(G624="Collectors",G624="Special Pricing",G624="Boutique",G624="leafjoy littles",G624="Premium"),
    IF(V624&gt;0,"Show","Hide"),
    IF(V624 &gt;= _xlfn.XLOOKUP(F624,'Min table'!C$3:C$5,),"Show","Hide")
)</f>
        <v>Hide</v>
      </c>
      <c r="X624" s="317" t="s">
        <v>2294</v>
      </c>
      <c r="Y624" s="317" t="s">
        <v>2294</v>
      </c>
    </row>
    <row r="625" spans="3:25" ht="18.75" hidden="1" x14ac:dyDescent="0.3">
      <c r="C625" s="322"/>
      <c r="D625" s="9"/>
      <c r="E625" s="9"/>
      <c r="F625" s="21" t="s">
        <v>75</v>
      </c>
      <c r="G625" s="20" t="s">
        <v>945</v>
      </c>
      <c r="H625" s="377" t="s">
        <v>960</v>
      </c>
      <c r="I625" s="377"/>
      <c r="J625" s="377" t="s">
        <v>961</v>
      </c>
      <c r="K625" s="377"/>
      <c r="L625" s="1"/>
      <c r="M625" s="2"/>
      <c r="N625" s="19">
        <v>8.5</v>
      </c>
      <c r="O625" s="22" t="str">
        <f t="shared" si="26"/>
        <v/>
      </c>
      <c r="P625" s="19" t="s">
        <v>506</v>
      </c>
      <c r="Q625" s="375" t="s">
        <v>224</v>
      </c>
      <c r="R625" s="375"/>
      <c r="S625" s="375"/>
      <c r="T625" s="93"/>
      <c r="U625" s="11"/>
      <c r="V625" s="320">
        <v>0</v>
      </c>
      <c r="W625" s="372" t="str">
        <f>IF(OR(G625="Collectors",G625="Special Pricing",G625="Boutique",G625="leafjoy littles",G625="Premium"),
    IF(V625&gt;0,"Show","Hide"),
    IF(V625 &gt;= _xlfn.XLOOKUP(F625,'Min table'!C$3:C$5,),"Show","Hide")
)</f>
        <v>Hide</v>
      </c>
      <c r="X625" s="317" t="s">
        <v>2295</v>
      </c>
      <c r="Y625" s="317" t="s">
        <v>2295</v>
      </c>
    </row>
    <row r="626" spans="3:25" ht="18.75" hidden="1" x14ac:dyDescent="0.3">
      <c r="C626" s="322"/>
      <c r="D626" s="9"/>
      <c r="E626" s="9"/>
      <c r="F626" s="21" t="s">
        <v>75</v>
      </c>
      <c r="G626" s="20" t="s">
        <v>942</v>
      </c>
      <c r="H626" s="377" t="s">
        <v>962</v>
      </c>
      <c r="I626" s="377"/>
      <c r="J626" s="377" t="s">
        <v>963</v>
      </c>
      <c r="K626" s="377"/>
      <c r="L626" s="1"/>
      <c r="M626" s="2"/>
      <c r="N626" s="19">
        <v>11.5</v>
      </c>
      <c r="O626" s="22" t="str">
        <f t="shared" si="26"/>
        <v/>
      </c>
      <c r="P626" s="19" t="s">
        <v>223</v>
      </c>
      <c r="Q626" s="375" t="s">
        <v>242</v>
      </c>
      <c r="R626" s="375"/>
      <c r="S626" s="375"/>
      <c r="T626" s="93"/>
      <c r="U626" s="11"/>
      <c r="V626" s="320">
        <v>0</v>
      </c>
      <c r="W626" s="372" t="str">
        <f>IF(OR(G626="Collectors",G626="Special Pricing",G626="Boutique",G626="leafjoy littles",G626="Premium"),
    IF(V626&gt;0,"Show","Hide"),
    IF(V626 &gt;= _xlfn.XLOOKUP(F626,'Min table'!C$3:C$5,),"Show","Hide")
)</f>
        <v>Hide</v>
      </c>
      <c r="X626" s="317" t="s">
        <v>2296</v>
      </c>
      <c r="Y626" s="317" t="s">
        <v>2296</v>
      </c>
    </row>
    <row r="627" spans="3:25" ht="18.75" hidden="1" x14ac:dyDescent="0.3">
      <c r="C627" s="322"/>
      <c r="D627" s="9"/>
      <c r="E627" s="9"/>
      <c r="F627" s="21" t="s">
        <v>75</v>
      </c>
      <c r="G627" s="20" t="s">
        <v>945</v>
      </c>
      <c r="H627" s="377" t="s">
        <v>964</v>
      </c>
      <c r="I627" s="377"/>
      <c r="J627" s="377" t="s">
        <v>965</v>
      </c>
      <c r="K627" s="377"/>
      <c r="L627" s="1"/>
      <c r="M627" s="2"/>
      <c r="N627" s="19">
        <v>8.5</v>
      </c>
      <c r="O627" s="22" t="str">
        <f t="shared" si="26"/>
        <v/>
      </c>
      <c r="P627" s="19" t="s">
        <v>231</v>
      </c>
      <c r="Q627" s="375" t="s">
        <v>224</v>
      </c>
      <c r="R627" s="375"/>
      <c r="S627" s="375"/>
      <c r="T627" s="93"/>
      <c r="U627" s="11"/>
      <c r="V627" s="320">
        <v>6</v>
      </c>
      <c r="W627" s="372" t="str">
        <f>IF(OR(G627="Collectors",G627="Special Pricing",G627="Boutique",G627="leafjoy littles",G627="Premium"),
    IF(V627&gt;0,"Show","Hide"),
    IF(V627 &gt;= _xlfn.XLOOKUP(F627,'Min table'!C$3:C$5,),"Show","Hide")
)</f>
        <v>Show</v>
      </c>
      <c r="X627" s="317" t="s">
        <v>2297</v>
      </c>
      <c r="Y627" s="317" t="s">
        <v>2297</v>
      </c>
    </row>
    <row r="628" spans="3:25" ht="18.75" hidden="1" x14ac:dyDescent="0.3">
      <c r="C628" s="322"/>
      <c r="D628" s="9"/>
      <c r="E628" s="9"/>
      <c r="F628" s="21" t="s">
        <v>75</v>
      </c>
      <c r="G628" s="20" t="s">
        <v>945</v>
      </c>
      <c r="H628" s="377" t="s">
        <v>1824</v>
      </c>
      <c r="I628" s="377"/>
      <c r="J628" s="377" t="s">
        <v>965</v>
      </c>
      <c r="K628" s="377"/>
      <c r="L628" s="1"/>
      <c r="M628" s="2"/>
      <c r="N628" s="19">
        <v>8.5</v>
      </c>
      <c r="O628" s="22" t="str">
        <f t="shared" ref="O628" si="29">IF(AND(L628="",M628=""),"",(L628*N628)+(M628*(N628+2.25)))</f>
        <v/>
      </c>
      <c r="P628" s="19" t="s">
        <v>231</v>
      </c>
      <c r="Q628" s="375" t="s">
        <v>224</v>
      </c>
      <c r="R628" s="375"/>
      <c r="S628" s="375"/>
      <c r="T628" s="93"/>
      <c r="U628" s="11"/>
      <c r="V628" s="320">
        <v>0</v>
      </c>
      <c r="W628" s="372" t="str">
        <f>IF(OR(G628="Collectors",G628="Special Pricing",G628="Boutique",G628="leafjoy littles",G628="Premium"),
    IF(V628&gt;0,"Show","Hide"),
    IF(V628 &gt;= _xlfn.XLOOKUP(F628,'Min table'!C$3:C$5,),"Show","Hide")
)</f>
        <v>Hide</v>
      </c>
      <c r="X628" s="317" t="s">
        <v>2298</v>
      </c>
      <c r="Y628" s="317" t="s">
        <v>2298</v>
      </c>
    </row>
    <row r="629" spans="3:25" ht="18.75" hidden="1" x14ac:dyDescent="0.3">
      <c r="C629" s="322"/>
      <c r="D629" s="9"/>
      <c r="E629" s="9"/>
      <c r="F629" s="21" t="s">
        <v>75</v>
      </c>
      <c r="G629" s="20" t="s">
        <v>945</v>
      </c>
      <c r="H629" s="399" t="s">
        <v>1859</v>
      </c>
      <c r="I629" s="399"/>
      <c r="J629" s="399"/>
      <c r="K629" s="399"/>
      <c r="L629" s="1"/>
      <c r="M629" s="2"/>
      <c r="N629" s="19">
        <v>8.5</v>
      </c>
      <c r="O629" s="22" t="str">
        <f t="shared" si="26"/>
        <v/>
      </c>
      <c r="P629" s="19" t="s">
        <v>231</v>
      </c>
      <c r="Q629" s="375" t="s">
        <v>224</v>
      </c>
      <c r="R629" s="375"/>
      <c r="S629" s="375"/>
      <c r="T629" s="93"/>
      <c r="U629" s="11"/>
      <c r="V629" s="320">
        <v>10</v>
      </c>
      <c r="W629" s="372" t="str">
        <f>IF(OR(G629="Collectors",G629="Special Pricing",G629="Boutique",G629="leafjoy littles",G629="Premium"),
    IF(V629&gt;0,"Show","Hide"),
    IF(V629 &gt;= _xlfn.XLOOKUP(F629,'Min table'!C$3:C$5,),"Show","Hide")
)</f>
        <v>Show</v>
      </c>
      <c r="X629" s="317" t="s">
        <v>2299</v>
      </c>
      <c r="Y629" s="317" t="s">
        <v>2299</v>
      </c>
    </row>
    <row r="630" spans="3:25" ht="18.75" hidden="1" x14ac:dyDescent="0.3">
      <c r="C630" s="322"/>
      <c r="D630" s="9"/>
      <c r="E630" s="9"/>
      <c r="F630" s="21" t="s">
        <v>75</v>
      </c>
      <c r="G630" s="20" t="s">
        <v>945</v>
      </c>
      <c r="H630" s="377" t="s">
        <v>1722</v>
      </c>
      <c r="I630" s="377"/>
      <c r="J630" s="377" t="s">
        <v>966</v>
      </c>
      <c r="K630" s="377"/>
      <c r="L630" s="1"/>
      <c r="M630" s="2"/>
      <c r="N630" s="19">
        <v>8.5</v>
      </c>
      <c r="O630" s="22" t="str">
        <f t="shared" ref="O630" si="30">IF(AND(L630="",M630=""),"",(L630*N630)+(M630*(N630+2.25)))</f>
        <v/>
      </c>
      <c r="P630" s="19" t="s">
        <v>1862</v>
      </c>
      <c r="Q630" s="375" t="s">
        <v>224</v>
      </c>
      <c r="R630" s="375"/>
      <c r="S630" s="375"/>
      <c r="T630" s="93"/>
      <c r="U630" s="11"/>
      <c r="V630" s="320">
        <v>0</v>
      </c>
      <c r="W630" s="372" t="str">
        <f>IF(OR(G630="Collectors",G630="Special Pricing",G630="Boutique",G630="leafjoy littles",G630="Premium"),
    IF(V630&gt;0,"Show","Hide"),
    IF(V630 &gt;= _xlfn.XLOOKUP(F630,'Min table'!C$3:C$5,),"Show","Hide")
)</f>
        <v>Hide</v>
      </c>
      <c r="X630" s="317" t="s">
        <v>2300</v>
      </c>
      <c r="Y630" s="317" t="s">
        <v>2300</v>
      </c>
    </row>
    <row r="631" spans="3:25" ht="18.75" hidden="1" x14ac:dyDescent="0.3">
      <c r="C631" s="322"/>
      <c r="D631" s="9"/>
      <c r="E631" s="9"/>
      <c r="F631" s="21" t="s">
        <v>75</v>
      </c>
      <c r="G631" s="20" t="s">
        <v>945</v>
      </c>
      <c r="H631" s="399" t="s">
        <v>1861</v>
      </c>
      <c r="I631" s="399"/>
      <c r="J631" s="399"/>
      <c r="K631" s="399"/>
      <c r="L631" s="1"/>
      <c r="M631" s="2"/>
      <c r="N631" s="19">
        <v>8.5</v>
      </c>
      <c r="O631" s="22" t="str">
        <f t="shared" si="26"/>
        <v/>
      </c>
      <c r="P631" s="19" t="s">
        <v>1862</v>
      </c>
      <c r="Q631" s="375" t="s">
        <v>224</v>
      </c>
      <c r="R631" s="375"/>
      <c r="S631" s="375"/>
      <c r="T631" s="93"/>
      <c r="U631" s="11"/>
      <c r="V631" s="320">
        <v>8</v>
      </c>
      <c r="W631" s="372" t="str">
        <f>IF(OR(G631="Collectors",G631="Special Pricing",G631="Boutique",G631="leafjoy littles",G631="Premium"),
    IF(V631&gt;0,"Show","Hide"),
    IF(V631 &gt;= _xlfn.XLOOKUP(F631,'Min table'!C$3:C$5,),"Show","Hide")
)</f>
        <v>Show</v>
      </c>
      <c r="X631" s="317" t="s">
        <v>2301</v>
      </c>
      <c r="Y631" s="317" t="s">
        <v>2301</v>
      </c>
    </row>
    <row r="632" spans="3:25" ht="18.75" hidden="1" x14ac:dyDescent="0.3">
      <c r="C632" s="322"/>
      <c r="D632" s="9"/>
      <c r="E632" s="9"/>
      <c r="F632" s="21" t="s">
        <v>75</v>
      </c>
      <c r="G632" s="20" t="s">
        <v>945</v>
      </c>
      <c r="H632" s="399" t="s">
        <v>1860</v>
      </c>
      <c r="I632" s="399"/>
      <c r="J632" s="399"/>
      <c r="K632" s="399"/>
      <c r="L632" s="1"/>
      <c r="M632" s="2"/>
      <c r="N632" s="19">
        <v>8.5</v>
      </c>
      <c r="O632" s="22" t="str">
        <f t="shared" si="26"/>
        <v/>
      </c>
      <c r="P632" s="19" t="s">
        <v>1862</v>
      </c>
      <c r="Q632" s="375" t="s">
        <v>224</v>
      </c>
      <c r="R632" s="375"/>
      <c r="S632" s="375"/>
      <c r="T632" s="106"/>
      <c r="U632" s="11"/>
      <c r="V632" s="320">
        <v>16</v>
      </c>
      <c r="W632" s="372" t="str">
        <f>IF(OR(G632="Collectors",G632="Special Pricing",G632="Boutique",G632="leafjoy littles",G632="Premium"),
    IF(V632&gt;0,"Show","Hide"),
    IF(V632 &gt;= _xlfn.XLOOKUP(F632,'Min table'!C$3:C$5,),"Show","Hide")
)</f>
        <v>Show</v>
      </c>
      <c r="X632" s="317" t="s">
        <v>2302</v>
      </c>
      <c r="Y632" s="317" t="s">
        <v>2302</v>
      </c>
    </row>
    <row r="633" spans="3:25" ht="18.75" hidden="1" x14ac:dyDescent="0.3">
      <c r="C633" s="322"/>
      <c r="D633" s="9"/>
      <c r="E633" s="9"/>
      <c r="F633" s="21" t="s">
        <v>75</v>
      </c>
      <c r="G633" s="20" t="s">
        <v>945</v>
      </c>
      <c r="H633" s="377" t="s">
        <v>967</v>
      </c>
      <c r="I633" s="377"/>
      <c r="J633" s="377" t="s">
        <v>968</v>
      </c>
      <c r="K633" s="377"/>
      <c r="L633" s="1"/>
      <c r="M633" s="2"/>
      <c r="N633" s="19">
        <v>8.5</v>
      </c>
      <c r="O633" s="22" t="str">
        <f t="shared" si="26"/>
        <v/>
      </c>
      <c r="P633" s="19" t="s">
        <v>223</v>
      </c>
      <c r="Q633" s="375" t="s">
        <v>224</v>
      </c>
      <c r="R633" s="375"/>
      <c r="S633" s="375"/>
      <c r="T633" s="93"/>
      <c r="U633" s="11"/>
      <c r="V633" s="320">
        <v>0</v>
      </c>
      <c r="W633" s="372" t="str">
        <f>IF(OR(G633="Collectors",G633="Special Pricing",G633="Boutique",G633="leafjoy littles",G633="Premium"),
    IF(V633&gt;0,"Show","Hide"),
    IF(V633 &gt;= _xlfn.XLOOKUP(F633,'Min table'!C$3:C$5,),"Show","Hide")
)</f>
        <v>Hide</v>
      </c>
      <c r="X633" s="317" t="s">
        <v>2303</v>
      </c>
      <c r="Y633" s="317" t="s">
        <v>2303</v>
      </c>
    </row>
    <row r="634" spans="3:25" ht="18.75" hidden="1" x14ac:dyDescent="0.3">
      <c r="C634" s="322"/>
      <c r="D634" s="9"/>
      <c r="E634" s="9"/>
      <c r="F634" s="21" t="s">
        <v>75</v>
      </c>
      <c r="G634" s="20" t="s">
        <v>942</v>
      </c>
      <c r="H634" s="377" t="s">
        <v>2566</v>
      </c>
      <c r="I634" s="377"/>
      <c r="J634" s="377" t="s">
        <v>968</v>
      </c>
      <c r="K634" s="377"/>
      <c r="L634" s="1"/>
      <c r="M634" s="2"/>
      <c r="N634" s="19">
        <v>11.5</v>
      </c>
      <c r="O634" s="22" t="str">
        <f t="shared" si="26"/>
        <v/>
      </c>
      <c r="P634" s="19" t="s">
        <v>1862</v>
      </c>
      <c r="Q634" s="375" t="s">
        <v>242</v>
      </c>
      <c r="R634" s="375"/>
      <c r="S634" s="375"/>
      <c r="T634" s="93"/>
      <c r="U634" s="11"/>
      <c r="V634" s="320">
        <v>0</v>
      </c>
      <c r="W634" s="372" t="str">
        <f>IF(OR(G634="Collectors",G634="Special Pricing",G634="Boutique",G634="leafjoy littles",G634="Premium"),
    IF(V634&gt;0,"Show","Hide"),
    IF(V634 &gt;= _xlfn.XLOOKUP(F634,'Min table'!C$3:C$5,),"Show","Hide")
)</f>
        <v>Hide</v>
      </c>
      <c r="X634" s="317" t="s">
        <v>2618</v>
      </c>
    </row>
    <row r="635" spans="3:25" ht="18.75" hidden="1" x14ac:dyDescent="0.3">
      <c r="C635" s="322"/>
      <c r="D635" s="9"/>
      <c r="E635" s="9"/>
      <c r="F635" s="21" t="s">
        <v>75</v>
      </c>
      <c r="G635" s="20" t="s">
        <v>945</v>
      </c>
      <c r="H635" s="377" t="s">
        <v>969</v>
      </c>
      <c r="I635" s="377"/>
      <c r="J635" s="377" t="s">
        <v>970</v>
      </c>
      <c r="K635" s="377"/>
      <c r="L635" s="1"/>
      <c r="M635" s="2"/>
      <c r="N635" s="19">
        <v>8.5</v>
      </c>
      <c r="O635" s="22" t="str">
        <f t="shared" si="26"/>
        <v/>
      </c>
      <c r="P635" s="19" t="s">
        <v>231</v>
      </c>
      <c r="Q635" s="375" t="s">
        <v>224</v>
      </c>
      <c r="R635" s="375"/>
      <c r="S635" s="375"/>
      <c r="T635" s="93"/>
      <c r="U635" s="11"/>
      <c r="V635" s="320">
        <v>0</v>
      </c>
      <c r="W635" s="372" t="str">
        <f>IF(OR(G635="Collectors",G635="Special Pricing",G635="Boutique",G635="leafjoy littles",G635="Premium"),
    IF(V635&gt;0,"Show","Hide"),
    IF(V635 &gt;= _xlfn.XLOOKUP(F635,'Min table'!C$3:C$5,),"Show","Hide")
)</f>
        <v>Hide</v>
      </c>
      <c r="X635" s="317" t="s">
        <v>2304</v>
      </c>
      <c r="Y635" s="317" t="s">
        <v>2304</v>
      </c>
    </row>
    <row r="636" spans="3:25" ht="18.75" hidden="1" x14ac:dyDescent="0.3">
      <c r="C636" s="322"/>
      <c r="D636" s="9"/>
      <c r="E636" s="9"/>
      <c r="F636" s="21" t="s">
        <v>75</v>
      </c>
      <c r="G636" s="20" t="s">
        <v>945</v>
      </c>
      <c r="H636" s="377" t="s">
        <v>971</v>
      </c>
      <c r="I636" s="377"/>
      <c r="J636" s="377" t="s">
        <v>972</v>
      </c>
      <c r="K636" s="377"/>
      <c r="L636" s="1"/>
      <c r="M636" s="2"/>
      <c r="N636" s="19">
        <v>8.5</v>
      </c>
      <c r="O636" s="22" t="str">
        <f t="shared" si="26"/>
        <v/>
      </c>
      <c r="P636" s="19" t="s">
        <v>231</v>
      </c>
      <c r="Q636" s="375" t="s">
        <v>224</v>
      </c>
      <c r="R636" s="375"/>
      <c r="S636" s="375"/>
      <c r="T636" s="93"/>
      <c r="U636" s="11"/>
      <c r="V636" s="320">
        <v>0</v>
      </c>
      <c r="W636" s="372" t="str">
        <f>IF(OR(G636="Collectors",G636="Special Pricing",G636="Boutique",G636="leafjoy littles",G636="Premium"),
    IF(V636&gt;0,"Show","Hide"),
    IF(V636 &gt;= _xlfn.XLOOKUP(F636,'Min table'!C$3:C$5,),"Show","Hide")
)</f>
        <v>Hide</v>
      </c>
      <c r="X636" s="317" t="s">
        <v>2305</v>
      </c>
      <c r="Y636" s="317" t="s">
        <v>2305</v>
      </c>
    </row>
    <row r="637" spans="3:25" ht="18.75" hidden="1" x14ac:dyDescent="0.3">
      <c r="C637" s="322"/>
      <c r="D637" s="9"/>
      <c r="E637" s="9"/>
      <c r="F637" s="21" t="s">
        <v>75</v>
      </c>
      <c r="G637" s="20" t="s">
        <v>991</v>
      </c>
      <c r="H637" s="414" t="s">
        <v>2780</v>
      </c>
      <c r="I637" s="414"/>
      <c r="J637" s="414"/>
      <c r="K637" s="414"/>
      <c r="L637" s="1"/>
      <c r="M637" s="2"/>
      <c r="N637" s="19">
        <v>20</v>
      </c>
      <c r="O637" s="22" t="str">
        <f t="shared" ref="O637" si="31">IF(AND(L637="",M637=""),"",(L637*N637)+(M637*(N637+2.25)))</f>
        <v/>
      </c>
      <c r="P637" s="19" t="s">
        <v>1862</v>
      </c>
      <c r="Q637" s="375" t="s">
        <v>341</v>
      </c>
      <c r="R637" s="375"/>
      <c r="S637" s="375"/>
      <c r="T637" s="93"/>
      <c r="U637" s="11"/>
      <c r="V637" s="320">
        <v>0</v>
      </c>
      <c r="W637" s="372" t="str">
        <f>IF(OR(G637="Collectors",G637="Special Pricing",G637="Boutique",G637="leafjoy littles",G637="Premium"),
    IF(V637&gt;0,"Show","Hide"),
    IF(V637 &gt;= _xlfn.XLOOKUP(F637,'Min table'!C$3:C$5,),"Show","Hide")
)</f>
        <v>Hide</v>
      </c>
    </row>
    <row r="638" spans="3:25" ht="18.75" hidden="1" x14ac:dyDescent="0.3">
      <c r="C638" s="322"/>
      <c r="D638" s="9"/>
      <c r="E638" s="9"/>
      <c r="F638" s="21" t="s">
        <v>75</v>
      </c>
      <c r="G638" s="20" t="s">
        <v>942</v>
      </c>
      <c r="H638" s="377" t="s">
        <v>973</v>
      </c>
      <c r="I638" s="377"/>
      <c r="J638" s="377" t="s">
        <v>974</v>
      </c>
      <c r="K638" s="377"/>
      <c r="L638" s="1"/>
      <c r="M638" s="2"/>
      <c r="N638" s="19">
        <v>11.5</v>
      </c>
      <c r="O638" s="22" t="str">
        <f t="shared" si="26"/>
        <v/>
      </c>
      <c r="P638" s="19" t="s">
        <v>975</v>
      </c>
      <c r="Q638" s="375" t="s">
        <v>242</v>
      </c>
      <c r="R638" s="375"/>
      <c r="S638" s="375"/>
      <c r="T638" s="93"/>
      <c r="U638" s="11"/>
      <c r="V638" s="320">
        <v>0</v>
      </c>
      <c r="W638" s="372" t="str">
        <f>IF(OR(G638="Collectors",G638="Special Pricing",G638="Boutique",G638="leafjoy littles",G638="Premium"),
    IF(V638&gt;0,"Show","Hide"),
    IF(V638 &gt;= _xlfn.XLOOKUP(F638,'Min table'!C$3:C$5,),"Show","Hide")
)</f>
        <v>Hide</v>
      </c>
      <c r="X638" s="317" t="s">
        <v>2306</v>
      </c>
      <c r="Y638" s="317" t="s">
        <v>2306</v>
      </c>
    </row>
    <row r="639" spans="3:25" ht="18.75" hidden="1" x14ac:dyDescent="0.3">
      <c r="C639" s="322"/>
      <c r="D639" s="9"/>
      <c r="E639" s="9"/>
      <c r="F639" s="21" t="s">
        <v>75</v>
      </c>
      <c r="G639" s="20" t="s">
        <v>945</v>
      </c>
      <c r="H639" s="377" t="s">
        <v>1723</v>
      </c>
      <c r="I639" s="377"/>
      <c r="J639" s="377" t="s">
        <v>972</v>
      </c>
      <c r="K639" s="377"/>
      <c r="L639" s="1"/>
      <c r="M639" s="2"/>
      <c r="N639" s="19">
        <v>8.5</v>
      </c>
      <c r="O639" s="22" t="str">
        <f t="shared" si="26"/>
        <v/>
      </c>
      <c r="P639" s="19" t="s">
        <v>231</v>
      </c>
      <c r="Q639" s="375" t="s">
        <v>224</v>
      </c>
      <c r="R639" s="375"/>
      <c r="S639" s="375"/>
      <c r="T639" s="93"/>
      <c r="U639" s="11"/>
      <c r="V639" s="320">
        <v>0</v>
      </c>
      <c r="W639" s="372" t="str">
        <f>IF(OR(G639="Collectors",G639="Special Pricing",G639="Boutique",G639="leafjoy littles",G639="Premium"),
    IF(V639&gt;0,"Show","Hide"),
    IF(V639 &gt;= _xlfn.XLOOKUP(F639,'Min table'!C$3:C$5,),"Show","Hide")
)</f>
        <v>Hide</v>
      </c>
      <c r="X639" s="317" t="s">
        <v>2307</v>
      </c>
      <c r="Y639" s="317" t="s">
        <v>2307</v>
      </c>
    </row>
    <row r="640" spans="3:25" ht="18.75" hidden="1" x14ac:dyDescent="0.3">
      <c r="C640" s="322"/>
      <c r="D640" s="9"/>
      <c r="E640" s="9"/>
      <c r="F640" s="21" t="s">
        <v>75</v>
      </c>
      <c r="G640" s="20" t="s">
        <v>942</v>
      </c>
      <c r="H640" s="377" t="s">
        <v>976</v>
      </c>
      <c r="I640" s="377"/>
      <c r="J640" s="377" t="s">
        <v>977</v>
      </c>
      <c r="K640" s="377"/>
      <c r="L640" s="1"/>
      <c r="M640" s="2"/>
      <c r="N640" s="19">
        <v>11.5</v>
      </c>
      <c r="O640" s="22" t="str">
        <f t="shared" si="26"/>
        <v/>
      </c>
      <c r="P640" s="19" t="s">
        <v>231</v>
      </c>
      <c r="Q640" s="375" t="s">
        <v>242</v>
      </c>
      <c r="R640" s="375"/>
      <c r="S640" s="375"/>
      <c r="T640" s="93"/>
      <c r="U640" s="11"/>
      <c r="V640" s="320">
        <v>0</v>
      </c>
      <c r="W640" s="372" t="str">
        <f>IF(OR(G640="Collectors",G640="Special Pricing",G640="Boutique",G640="leafjoy littles",G640="Premium"),
    IF(V640&gt;0,"Show","Hide"),
    IF(V640 &gt;= _xlfn.XLOOKUP(F640,'Min table'!C$3:C$5,),"Show","Hide")
)</f>
        <v>Hide</v>
      </c>
      <c r="X640" s="317" t="s">
        <v>2308</v>
      </c>
      <c r="Y640" s="317" t="s">
        <v>2308</v>
      </c>
    </row>
    <row r="641" spans="3:25" ht="18.75" hidden="1" x14ac:dyDescent="0.3">
      <c r="C641" s="322"/>
      <c r="D641" s="9"/>
      <c r="E641" s="9"/>
      <c r="F641" s="21" t="s">
        <v>75</v>
      </c>
      <c r="G641" s="20" t="s">
        <v>942</v>
      </c>
      <c r="H641" s="377" t="s">
        <v>1734</v>
      </c>
      <c r="I641" s="377"/>
      <c r="J641" s="377"/>
      <c r="K641" s="377"/>
      <c r="L641" s="1"/>
      <c r="M641" s="2"/>
      <c r="N641" s="19">
        <v>11.5</v>
      </c>
      <c r="O641" s="22" t="str">
        <f t="shared" si="26"/>
        <v/>
      </c>
      <c r="P641" s="19" t="s">
        <v>349</v>
      </c>
      <c r="Q641" s="375" t="s">
        <v>242</v>
      </c>
      <c r="R641" s="375"/>
      <c r="S641" s="375"/>
      <c r="T641" s="93"/>
      <c r="U641" s="11"/>
      <c r="V641" s="320">
        <v>0</v>
      </c>
      <c r="W641" s="372" t="str">
        <f>IF(OR(G641="Collectors",G641="Special Pricing",G641="Boutique",G641="leafjoy littles",G641="Premium"),
    IF(V641&gt;0,"Show","Hide"),
    IF(V641 &gt;= _xlfn.XLOOKUP(F641,'Min table'!C$3:C$5,),"Show","Hide")
)</f>
        <v>Hide</v>
      </c>
      <c r="X641" s="317" t="s">
        <v>2309</v>
      </c>
      <c r="Y641" s="317" t="s">
        <v>2309</v>
      </c>
    </row>
    <row r="642" spans="3:25" ht="18.75" hidden="1" x14ac:dyDescent="0.3">
      <c r="C642" s="322"/>
      <c r="D642" s="9"/>
      <c r="E642" s="9"/>
      <c r="F642" s="21" t="s">
        <v>75</v>
      </c>
      <c r="G642" s="20" t="s">
        <v>945</v>
      </c>
      <c r="H642" s="377" t="s">
        <v>978</v>
      </c>
      <c r="I642" s="377"/>
      <c r="J642" s="377" t="s">
        <v>979</v>
      </c>
      <c r="K642" s="377"/>
      <c r="L642" s="1"/>
      <c r="M642" s="2"/>
      <c r="N642" s="19">
        <v>8.5</v>
      </c>
      <c r="O642" s="22" t="str">
        <f t="shared" si="26"/>
        <v/>
      </c>
      <c r="P642" s="19" t="s">
        <v>231</v>
      </c>
      <c r="Q642" s="375" t="s">
        <v>224</v>
      </c>
      <c r="R642" s="375"/>
      <c r="S642" s="375"/>
      <c r="T642" s="93"/>
      <c r="U642" s="11"/>
      <c r="V642" s="320">
        <v>0</v>
      </c>
      <c r="W642" s="372" t="str">
        <f>IF(OR(G642="Collectors",G642="Special Pricing",G642="Boutique",G642="leafjoy littles",G642="Premium"),
    IF(V642&gt;0,"Show","Hide"),
    IF(V642 &gt;= _xlfn.XLOOKUP(F642,'Min table'!C$3:C$5,),"Show","Hide")
)</f>
        <v>Hide</v>
      </c>
      <c r="X642" s="317" t="s">
        <v>2310</v>
      </c>
      <c r="Y642" s="317" t="s">
        <v>2310</v>
      </c>
    </row>
    <row r="643" spans="3:25" ht="18.75" hidden="1" x14ac:dyDescent="0.3">
      <c r="C643" s="322"/>
      <c r="D643" s="9"/>
      <c r="E643" s="9"/>
      <c r="F643" s="21" t="s">
        <v>75</v>
      </c>
      <c r="G643" s="20" t="s">
        <v>945</v>
      </c>
      <c r="H643" s="377" t="s">
        <v>980</v>
      </c>
      <c r="I643" s="377"/>
      <c r="J643" s="377" t="s">
        <v>981</v>
      </c>
      <c r="K643" s="377"/>
      <c r="L643" s="1"/>
      <c r="M643" s="2"/>
      <c r="N643" s="19">
        <v>8.5</v>
      </c>
      <c r="O643" s="22" t="str">
        <f t="shared" si="26"/>
        <v/>
      </c>
      <c r="P643" s="19" t="s">
        <v>982</v>
      </c>
      <c r="Q643" s="375" t="s">
        <v>224</v>
      </c>
      <c r="R643" s="375"/>
      <c r="S643" s="375"/>
      <c r="T643" s="93"/>
      <c r="U643" s="11"/>
      <c r="V643" s="320">
        <v>0</v>
      </c>
      <c r="W643" s="372" t="str">
        <f>IF(OR(G643="Collectors",G643="Special Pricing",G643="Boutique",G643="leafjoy littles",G643="Premium"),
    IF(V643&gt;0,"Show","Hide"),
    IF(V643 &gt;= _xlfn.XLOOKUP(F643,'Min table'!C$3:C$5,),"Show","Hide")
)</f>
        <v>Hide</v>
      </c>
      <c r="X643" s="317" t="s">
        <v>2311</v>
      </c>
      <c r="Y643" s="317" t="s">
        <v>2311</v>
      </c>
    </row>
    <row r="644" spans="3:25" ht="18.75" hidden="1" x14ac:dyDescent="0.3">
      <c r="C644" s="322"/>
      <c r="D644" s="9"/>
      <c r="E644" s="9"/>
      <c r="F644" s="21" t="s">
        <v>75</v>
      </c>
      <c r="G644" s="20" t="s">
        <v>1853</v>
      </c>
      <c r="H644" s="377" t="s">
        <v>2276</v>
      </c>
      <c r="I644" s="377"/>
      <c r="J644" s="377"/>
      <c r="K644" s="377"/>
      <c r="L644" s="1"/>
      <c r="M644" s="2"/>
      <c r="N644" s="19">
        <v>12</v>
      </c>
      <c r="O644" s="22" t="str">
        <f t="shared" si="26"/>
        <v/>
      </c>
      <c r="P644" s="19" t="s">
        <v>2250</v>
      </c>
      <c r="Q644" s="378" t="s">
        <v>242</v>
      </c>
      <c r="R644" s="379"/>
      <c r="S644" s="379"/>
      <c r="T644" s="94"/>
      <c r="U644" s="11"/>
      <c r="V644" s="320">
        <v>0</v>
      </c>
      <c r="W644" s="372" t="e">
        <f>IF(OR(G644="Collectors",G644="Special Pricing",G644="Boutique",G644="leafjoy littles",G644="Premium"),
    IF(V644&gt;0,"Show","Hide"),
    IF(V644 &gt;= _xlfn.XLOOKUP(F644,'Min table'!C$3:C$5,),"Show","Hide")
)</f>
        <v>#VALUE!</v>
      </c>
      <c r="X644" s="317" t="s">
        <v>2284</v>
      </c>
      <c r="Y644" s="317" t="s">
        <v>2284</v>
      </c>
    </row>
    <row r="645" spans="3:25" ht="18.75" hidden="1" x14ac:dyDescent="0.3">
      <c r="C645" s="322"/>
      <c r="D645" s="9"/>
      <c r="E645" s="9"/>
      <c r="F645" s="21" t="s">
        <v>75</v>
      </c>
      <c r="G645" s="20" t="s">
        <v>945</v>
      </c>
      <c r="H645" s="377" t="s">
        <v>983</v>
      </c>
      <c r="I645" s="377"/>
      <c r="J645" s="377" t="s">
        <v>984</v>
      </c>
      <c r="K645" s="377"/>
      <c r="L645" s="1"/>
      <c r="M645" s="2"/>
      <c r="N645" s="19">
        <v>8.5</v>
      </c>
      <c r="O645" s="22" t="str">
        <f t="shared" si="26"/>
        <v/>
      </c>
      <c r="P645" s="19" t="s">
        <v>389</v>
      </c>
      <c r="Q645" s="375" t="s">
        <v>224</v>
      </c>
      <c r="R645" s="375"/>
      <c r="S645" s="375"/>
      <c r="T645" s="93"/>
      <c r="U645" s="11"/>
      <c r="V645" s="320">
        <v>0</v>
      </c>
      <c r="W645" s="372" t="str">
        <f>IF(OR(G645="Collectors",G645="Special Pricing",G645="Boutique",G645="leafjoy littles",G645="Premium"),
    IF(V645&gt;0,"Show","Hide"),
    IF(V645 &gt;= _xlfn.XLOOKUP(F645,'Min table'!C$3:C$5,),"Show","Hide")
)</f>
        <v>Hide</v>
      </c>
      <c r="X645" s="317" t="s">
        <v>2312</v>
      </c>
      <c r="Y645" s="317" t="s">
        <v>2312</v>
      </c>
    </row>
    <row r="646" spans="3:25" ht="18.75" hidden="1" x14ac:dyDescent="0.3">
      <c r="C646" s="322"/>
      <c r="D646" s="9"/>
      <c r="E646" s="9"/>
      <c r="F646" s="21" t="s">
        <v>75</v>
      </c>
      <c r="G646" s="20" t="s">
        <v>942</v>
      </c>
      <c r="H646" s="377" t="s">
        <v>985</v>
      </c>
      <c r="I646" s="377"/>
      <c r="J646" s="377" t="s">
        <v>986</v>
      </c>
      <c r="K646" s="377"/>
      <c r="L646" s="1"/>
      <c r="M646" s="2"/>
      <c r="N646" s="19">
        <v>11.5</v>
      </c>
      <c r="O646" s="22" t="str">
        <f t="shared" si="26"/>
        <v/>
      </c>
      <c r="P646" s="19" t="s">
        <v>987</v>
      </c>
      <c r="Q646" s="375" t="s">
        <v>242</v>
      </c>
      <c r="R646" s="375"/>
      <c r="S646" s="375"/>
      <c r="T646" s="93"/>
      <c r="U646" s="11"/>
      <c r="V646" s="320">
        <v>0</v>
      </c>
      <c r="W646" s="372" t="str">
        <f>IF(OR(G646="Collectors",G646="Special Pricing",G646="Boutique",G646="leafjoy littles",G646="Premium"),
    IF(V646&gt;0,"Show","Hide"),
    IF(V646 &gt;= _xlfn.XLOOKUP(F646,'Min table'!C$3:C$5,),"Show","Hide")
)</f>
        <v>Hide</v>
      </c>
      <c r="X646" s="317" t="s">
        <v>2313</v>
      </c>
      <c r="Y646" s="317" t="s">
        <v>2313</v>
      </c>
    </row>
    <row r="647" spans="3:25" ht="18.75" hidden="1" x14ac:dyDescent="0.3">
      <c r="C647" s="322"/>
      <c r="D647" s="9"/>
      <c r="E647" s="9"/>
      <c r="F647" s="21" t="s">
        <v>75</v>
      </c>
      <c r="G647" s="20" t="s">
        <v>945</v>
      </c>
      <c r="H647" s="377" t="s">
        <v>988</v>
      </c>
      <c r="I647" s="377"/>
      <c r="J647" s="377" t="s">
        <v>989</v>
      </c>
      <c r="K647" s="377"/>
      <c r="L647" s="1"/>
      <c r="M647" s="2"/>
      <c r="N647" s="19">
        <v>8.5</v>
      </c>
      <c r="O647" s="22" t="str">
        <f t="shared" si="26"/>
        <v/>
      </c>
      <c r="P647" s="19" t="s">
        <v>990</v>
      </c>
      <c r="Q647" s="375" t="s">
        <v>224</v>
      </c>
      <c r="R647" s="375"/>
      <c r="S647" s="375"/>
      <c r="T647" s="93"/>
      <c r="U647" s="11"/>
      <c r="V647" s="320">
        <v>0</v>
      </c>
      <c r="W647" s="372" t="str">
        <f>IF(OR(G647="Collectors",G647="Special Pricing",G647="Boutique",G647="leafjoy littles",G647="Premium"),
    IF(V647&gt;0,"Show","Hide"),
    IF(V647 &gt;= _xlfn.XLOOKUP(F647,'Min table'!C$3:C$5,),"Show","Hide")
)</f>
        <v>Hide</v>
      </c>
      <c r="X647" s="317" t="s">
        <v>2314</v>
      </c>
      <c r="Y647" s="317" t="s">
        <v>2314</v>
      </c>
    </row>
    <row r="648" spans="3:25" ht="18.75" hidden="1" x14ac:dyDescent="0.3">
      <c r="C648" s="322"/>
      <c r="D648" s="9"/>
      <c r="E648" s="9"/>
      <c r="F648" s="21" t="s">
        <v>75</v>
      </c>
      <c r="G648" s="20" t="s">
        <v>991</v>
      </c>
      <c r="H648" s="377" t="s">
        <v>992</v>
      </c>
      <c r="I648" s="377"/>
      <c r="J648" s="377" t="s">
        <v>993</v>
      </c>
      <c r="K648" s="377"/>
      <c r="L648" s="1"/>
      <c r="M648" s="2"/>
      <c r="N648" s="19">
        <v>20</v>
      </c>
      <c r="O648" s="22" t="str">
        <f t="shared" si="26"/>
        <v/>
      </c>
      <c r="P648" s="19" t="s">
        <v>486</v>
      </c>
      <c r="Q648" s="375" t="s">
        <v>341</v>
      </c>
      <c r="R648" s="375"/>
      <c r="S648" s="375"/>
      <c r="T648" s="93"/>
      <c r="U648" s="11"/>
      <c r="V648" s="320">
        <v>2</v>
      </c>
      <c r="W648" s="372" t="str">
        <f>IF(OR(G648="Collectors",G648="Special Pricing",G648="Boutique",G648="leafjoy littles",G648="Premium"),
    IF(V648&gt;0,"Show","Hide"),
    IF(V648 &gt;= _xlfn.XLOOKUP(F648,'Min table'!C$3:C$5,),"Show","Hide")
)</f>
        <v>Show</v>
      </c>
      <c r="X648" s="317" t="s">
        <v>2315</v>
      </c>
      <c r="Y648" s="317" t="s">
        <v>2315</v>
      </c>
    </row>
    <row r="649" spans="3:25" ht="18.75" hidden="1" x14ac:dyDescent="0.3">
      <c r="C649" s="322"/>
      <c r="D649" s="9"/>
      <c r="E649" s="9"/>
      <c r="F649" s="21" t="s">
        <v>75</v>
      </c>
      <c r="G649" s="20" t="s">
        <v>942</v>
      </c>
      <c r="H649" s="376" t="s">
        <v>994</v>
      </c>
      <c r="I649" s="376"/>
      <c r="J649" s="376" t="s">
        <v>995</v>
      </c>
      <c r="K649" s="376"/>
      <c r="L649" s="1"/>
      <c r="M649" s="2"/>
      <c r="N649" s="19">
        <v>11.5</v>
      </c>
      <c r="O649" s="22" t="str">
        <f t="shared" si="26"/>
        <v/>
      </c>
      <c r="P649" s="21" t="s">
        <v>486</v>
      </c>
      <c r="Q649" s="375" t="s">
        <v>242</v>
      </c>
      <c r="R649" s="375"/>
      <c r="S649" s="375"/>
      <c r="T649" s="93"/>
      <c r="U649" s="11"/>
      <c r="V649" s="320">
        <v>0</v>
      </c>
      <c r="W649" s="372" t="str">
        <f>IF(OR(G649="Collectors",G649="Special Pricing",G649="Boutique",G649="leafjoy littles",G649="Premium"),
    IF(V649&gt;0,"Show","Hide"),
    IF(V649 &gt;= _xlfn.XLOOKUP(F649,'Min table'!C$3:C$5,),"Show","Hide")
)</f>
        <v>Hide</v>
      </c>
      <c r="X649" s="317" t="s">
        <v>2316</v>
      </c>
      <c r="Y649" s="317" t="s">
        <v>2316</v>
      </c>
    </row>
    <row r="650" spans="3:25" ht="18.75" hidden="1" x14ac:dyDescent="0.3">
      <c r="C650" s="322"/>
      <c r="D650" s="9"/>
      <c r="E650" s="9"/>
      <c r="F650" s="21" t="s">
        <v>75</v>
      </c>
      <c r="G650" s="20" t="s">
        <v>942</v>
      </c>
      <c r="H650" s="377" t="s">
        <v>996</v>
      </c>
      <c r="I650" s="377"/>
      <c r="J650" s="377" t="s">
        <v>997</v>
      </c>
      <c r="K650" s="377"/>
      <c r="L650" s="1"/>
      <c r="M650" s="2"/>
      <c r="N650" s="19">
        <v>11.5</v>
      </c>
      <c r="O650" s="22" t="str">
        <f t="shared" si="26"/>
        <v/>
      </c>
      <c r="P650" s="21" t="s">
        <v>998</v>
      </c>
      <c r="Q650" s="375" t="s">
        <v>242</v>
      </c>
      <c r="R650" s="375"/>
      <c r="S650" s="375"/>
      <c r="T650" s="93"/>
      <c r="U650" s="11"/>
      <c r="V650" s="320">
        <v>0</v>
      </c>
      <c r="W650" s="372" t="str">
        <f>IF(OR(G650="Collectors",G650="Special Pricing",G650="Boutique",G650="leafjoy littles",G650="Premium"),
    IF(V650&gt;0,"Show","Hide"),
    IF(V650 &gt;= _xlfn.XLOOKUP(F650,'Min table'!C$3:C$5,),"Show","Hide")
)</f>
        <v>Hide</v>
      </c>
      <c r="X650" s="317" t="s">
        <v>2317</v>
      </c>
      <c r="Y650" s="317" t="s">
        <v>2317</v>
      </c>
    </row>
    <row r="651" spans="3:25" ht="18.75" hidden="1" x14ac:dyDescent="0.3">
      <c r="C651" s="322"/>
      <c r="D651" s="9"/>
      <c r="E651" s="9"/>
      <c r="F651" s="21" t="s">
        <v>75</v>
      </c>
      <c r="G651" s="20" t="s">
        <v>942</v>
      </c>
      <c r="H651" s="377" t="s">
        <v>999</v>
      </c>
      <c r="I651" s="377"/>
      <c r="J651" s="377" t="s">
        <v>1000</v>
      </c>
      <c r="K651" s="377"/>
      <c r="L651" s="1"/>
      <c r="M651" s="2"/>
      <c r="N651" s="19">
        <v>11.5</v>
      </c>
      <c r="O651" s="22" t="str">
        <f t="shared" si="26"/>
        <v/>
      </c>
      <c r="P651" s="19" t="s">
        <v>700</v>
      </c>
      <c r="Q651" s="375" t="s">
        <v>242</v>
      </c>
      <c r="R651" s="375"/>
      <c r="S651" s="375"/>
      <c r="T651" s="93"/>
      <c r="U651" s="11"/>
      <c r="V651" s="320">
        <v>0</v>
      </c>
      <c r="W651" s="372" t="str">
        <f>IF(OR(G651="Collectors",G651="Special Pricing",G651="Boutique",G651="leafjoy littles",G651="Premium"),
    IF(V651&gt;0,"Show","Hide"),
    IF(V651 &gt;= _xlfn.XLOOKUP(F651,'Min table'!C$3:C$5,),"Show","Hide")
)</f>
        <v>Hide</v>
      </c>
      <c r="X651" s="317" t="s">
        <v>2318</v>
      </c>
      <c r="Y651" s="317" t="s">
        <v>2318</v>
      </c>
    </row>
    <row r="652" spans="3:25" ht="18.75" hidden="1" x14ac:dyDescent="0.3">
      <c r="C652" s="322"/>
      <c r="D652" s="9"/>
      <c r="E652" s="9"/>
      <c r="F652" s="21" t="s">
        <v>75</v>
      </c>
      <c r="G652" s="20" t="s">
        <v>991</v>
      </c>
      <c r="H652" s="377" t="s">
        <v>1001</v>
      </c>
      <c r="I652" s="377"/>
      <c r="J652" s="377" t="s">
        <v>1002</v>
      </c>
      <c r="K652" s="377"/>
      <c r="L652" s="1"/>
      <c r="M652" s="2"/>
      <c r="N652" s="19">
        <v>20</v>
      </c>
      <c r="O652" s="22" t="str">
        <f t="shared" si="26"/>
        <v/>
      </c>
      <c r="P652" s="19" t="s">
        <v>486</v>
      </c>
      <c r="Q652" s="375" t="s">
        <v>341</v>
      </c>
      <c r="R652" s="375"/>
      <c r="S652" s="375"/>
      <c r="T652" s="93"/>
      <c r="U652" s="11"/>
      <c r="V652" s="320">
        <v>2</v>
      </c>
      <c r="W652" s="372" t="str">
        <f>IF(OR(G652="Collectors",G652="Special Pricing",G652="Boutique",G652="leafjoy littles",G652="Premium"),
    IF(V652&gt;0,"Show","Hide"),
    IF(V652 &gt;= _xlfn.XLOOKUP(F652,'Min table'!C$3:C$5,),"Show","Hide")
)</f>
        <v>Show</v>
      </c>
      <c r="X652" s="317" t="s">
        <v>2319</v>
      </c>
      <c r="Y652" s="317" t="s">
        <v>2319</v>
      </c>
    </row>
    <row r="653" spans="3:25" ht="18.75" hidden="1" x14ac:dyDescent="0.3">
      <c r="C653" s="322"/>
      <c r="D653" s="9"/>
      <c r="E653" s="9"/>
      <c r="F653" s="21" t="s">
        <v>75</v>
      </c>
      <c r="G653" s="20" t="s">
        <v>942</v>
      </c>
      <c r="H653" s="376" t="s">
        <v>1003</v>
      </c>
      <c r="I653" s="376"/>
      <c r="J653" s="376" t="s">
        <v>1004</v>
      </c>
      <c r="K653" s="376"/>
      <c r="L653" s="1"/>
      <c r="M653" s="2"/>
      <c r="N653" s="19">
        <v>11.5</v>
      </c>
      <c r="O653" s="22" t="str">
        <f t="shared" si="26"/>
        <v/>
      </c>
      <c r="P653" s="21" t="s">
        <v>486</v>
      </c>
      <c r="Q653" s="375" t="s">
        <v>242</v>
      </c>
      <c r="R653" s="375"/>
      <c r="S653" s="375"/>
      <c r="T653" s="93"/>
      <c r="U653" s="11"/>
      <c r="V653" s="320">
        <v>0</v>
      </c>
      <c r="W653" s="372" t="str">
        <f>IF(OR(G653="Collectors",G653="Special Pricing",G653="Boutique",G653="leafjoy littles",G653="Premium"),
    IF(V653&gt;0,"Show","Hide"),
    IF(V653 &gt;= _xlfn.XLOOKUP(F653,'Min table'!C$3:C$5,),"Show","Hide")
)</f>
        <v>Hide</v>
      </c>
      <c r="X653" s="317" t="s">
        <v>2320</v>
      </c>
      <c r="Y653" s="317" t="s">
        <v>2320</v>
      </c>
    </row>
    <row r="654" spans="3:25" ht="18.75" hidden="1" x14ac:dyDescent="0.3">
      <c r="C654" s="322"/>
      <c r="D654" s="9"/>
      <c r="E654" s="9"/>
      <c r="F654" s="21" t="s">
        <v>75</v>
      </c>
      <c r="G654" s="20" t="s">
        <v>991</v>
      </c>
      <c r="H654" s="377" t="s">
        <v>1005</v>
      </c>
      <c r="I654" s="377"/>
      <c r="J654" s="377" t="s">
        <v>1006</v>
      </c>
      <c r="K654" s="377"/>
      <c r="L654" s="1"/>
      <c r="M654" s="2"/>
      <c r="N654" s="19">
        <v>20</v>
      </c>
      <c r="O654" s="22" t="str">
        <f t="shared" si="26"/>
        <v/>
      </c>
      <c r="P654" s="21" t="s">
        <v>1007</v>
      </c>
      <c r="Q654" s="375" t="s">
        <v>341</v>
      </c>
      <c r="R654" s="375"/>
      <c r="S654" s="375"/>
      <c r="T654" s="93"/>
      <c r="U654" s="11"/>
      <c r="V654" s="320">
        <v>0</v>
      </c>
      <c r="W654" s="372" t="str">
        <f>IF(OR(G654="Collectors",G654="Special Pricing",G654="Boutique",G654="leafjoy littles",G654="Premium"),
    IF(V654&gt;0,"Show","Hide"),
    IF(V654 &gt;= _xlfn.XLOOKUP(F654,'Min table'!C$3:C$5,),"Show","Hide")
)</f>
        <v>Hide</v>
      </c>
      <c r="X654" s="317" t="s">
        <v>2321</v>
      </c>
      <c r="Y654" s="317" t="s">
        <v>2321</v>
      </c>
    </row>
    <row r="655" spans="3:25" ht="18.75" hidden="1" x14ac:dyDescent="0.3">
      <c r="C655" s="322"/>
      <c r="D655" s="9"/>
      <c r="E655" s="9"/>
      <c r="F655" s="21" t="s">
        <v>75</v>
      </c>
      <c r="G655" s="20" t="s">
        <v>942</v>
      </c>
      <c r="H655" s="377" t="s">
        <v>1008</v>
      </c>
      <c r="I655" s="377"/>
      <c r="J655" s="377" t="s">
        <v>1009</v>
      </c>
      <c r="K655" s="377"/>
      <c r="L655" s="1"/>
      <c r="M655" s="2"/>
      <c r="N655" s="19">
        <v>11.5</v>
      </c>
      <c r="O655" s="22" t="str">
        <f t="shared" si="26"/>
        <v/>
      </c>
      <c r="P655" s="21" t="s">
        <v>1007</v>
      </c>
      <c r="Q655" s="375" t="s">
        <v>242</v>
      </c>
      <c r="R655" s="375"/>
      <c r="S655" s="375"/>
      <c r="T655" s="93"/>
      <c r="U655" s="11"/>
      <c r="V655" s="320">
        <v>0</v>
      </c>
      <c r="W655" s="372" t="str">
        <f>IF(OR(G655="Collectors",G655="Special Pricing",G655="Boutique",G655="leafjoy littles",G655="Premium"),
    IF(V655&gt;0,"Show","Hide"),
    IF(V655 &gt;= _xlfn.XLOOKUP(F655,'Min table'!C$3:C$5,),"Show","Hide")
)</f>
        <v>Hide</v>
      </c>
      <c r="X655" s="317" t="s">
        <v>2322</v>
      </c>
      <c r="Y655" s="317" t="s">
        <v>2322</v>
      </c>
    </row>
    <row r="656" spans="3:25" ht="18.75" hidden="1" x14ac:dyDescent="0.3">
      <c r="C656" s="322"/>
      <c r="D656" s="9"/>
      <c r="E656" s="9"/>
      <c r="F656" s="21" t="s">
        <v>75</v>
      </c>
      <c r="G656" s="20" t="s">
        <v>945</v>
      </c>
      <c r="H656" s="377" t="s">
        <v>1010</v>
      </c>
      <c r="I656" s="377"/>
      <c r="J656" s="377" t="s">
        <v>1011</v>
      </c>
      <c r="K656" s="377"/>
      <c r="L656" s="1"/>
      <c r="M656" s="2"/>
      <c r="N656" s="19">
        <v>8.5</v>
      </c>
      <c r="O656" s="22" t="str">
        <f t="shared" si="26"/>
        <v/>
      </c>
      <c r="P656" s="21" t="s">
        <v>975</v>
      </c>
      <c r="Q656" s="375" t="s">
        <v>224</v>
      </c>
      <c r="R656" s="375"/>
      <c r="S656" s="375"/>
      <c r="T656" s="93"/>
      <c r="U656" s="11"/>
      <c r="V656" s="320">
        <v>0</v>
      </c>
      <c r="W656" s="372" t="str">
        <f>IF(OR(G656="Collectors",G656="Special Pricing",G656="Boutique",G656="leafjoy littles",G656="Premium"),
    IF(V656&gt;0,"Show","Hide"),
    IF(V656 &gt;= _xlfn.XLOOKUP(F656,'Min table'!C$3:C$5,),"Show","Hide")
)</f>
        <v>Hide</v>
      </c>
      <c r="X656" s="317" t="s">
        <v>2323</v>
      </c>
      <c r="Y656" s="317" t="s">
        <v>2323</v>
      </c>
    </row>
    <row r="657" spans="3:25" ht="18.75" hidden="1" x14ac:dyDescent="0.3">
      <c r="C657" s="322"/>
      <c r="D657" s="9"/>
      <c r="E657" s="9"/>
      <c r="F657" s="21" t="s">
        <v>75</v>
      </c>
      <c r="G657" s="20" t="s">
        <v>991</v>
      </c>
      <c r="H657" s="376" t="s">
        <v>1012</v>
      </c>
      <c r="I657" s="376"/>
      <c r="J657" s="376" t="s">
        <v>1013</v>
      </c>
      <c r="K657" s="376"/>
      <c r="L657" s="1"/>
      <c r="M657" s="2"/>
      <c r="N657" s="19">
        <v>20</v>
      </c>
      <c r="O657" s="22" t="str">
        <f t="shared" si="26"/>
        <v/>
      </c>
      <c r="P657" s="21" t="s">
        <v>344</v>
      </c>
      <c r="Q657" s="375" t="s">
        <v>341</v>
      </c>
      <c r="R657" s="375"/>
      <c r="S657" s="375"/>
      <c r="T657" s="106"/>
      <c r="U657" s="11"/>
      <c r="V657" s="320">
        <v>40</v>
      </c>
      <c r="W657" s="372" t="str">
        <f>IF(OR(G657="Collectors",G657="Special Pricing",G657="Boutique",G657="leafjoy littles",G657="Premium"),
    IF(V657&gt;0,"Show","Hide"),
    IF(V657 &gt;= _xlfn.XLOOKUP(F657,'Min table'!C$3:C$5,),"Show","Hide")
)</f>
        <v>Show</v>
      </c>
      <c r="X657" s="317" t="s">
        <v>2324</v>
      </c>
      <c r="Y657" s="317" t="s">
        <v>2324</v>
      </c>
    </row>
    <row r="658" spans="3:25" ht="18.75" hidden="1" x14ac:dyDescent="0.3">
      <c r="C658" s="322"/>
      <c r="D658" s="9"/>
      <c r="E658" s="9"/>
      <c r="F658" s="21" t="s">
        <v>75</v>
      </c>
      <c r="G658" s="20" t="s">
        <v>942</v>
      </c>
      <c r="H658" s="377" t="s">
        <v>1014</v>
      </c>
      <c r="I658" s="377"/>
      <c r="J658" s="377" t="s">
        <v>1015</v>
      </c>
      <c r="K658" s="377"/>
      <c r="L658" s="1"/>
      <c r="M658" s="2"/>
      <c r="N658" s="19">
        <v>11.5</v>
      </c>
      <c r="O658" s="22" t="str">
        <f t="shared" si="26"/>
        <v/>
      </c>
      <c r="P658" s="19" t="s">
        <v>1016</v>
      </c>
      <c r="Q658" s="375" t="s">
        <v>242</v>
      </c>
      <c r="R658" s="375"/>
      <c r="S658" s="375"/>
      <c r="T658" s="93"/>
      <c r="U658" s="11"/>
      <c r="V658" s="320">
        <v>0</v>
      </c>
      <c r="W658" s="372" t="str">
        <f>IF(OR(G658="Collectors",G658="Special Pricing",G658="Boutique",G658="leafjoy littles",G658="Premium"),
    IF(V658&gt;0,"Show","Hide"),
    IF(V658 &gt;= _xlfn.XLOOKUP(F658,'Min table'!C$3:C$5,),"Show","Hide")
)</f>
        <v>Hide</v>
      </c>
      <c r="X658" s="317" t="s">
        <v>2325</v>
      </c>
      <c r="Y658" s="317" t="s">
        <v>2325</v>
      </c>
    </row>
    <row r="659" spans="3:25" ht="18.75" hidden="1" x14ac:dyDescent="0.3">
      <c r="C659" s="322"/>
      <c r="D659" s="9"/>
      <c r="E659" s="9"/>
      <c r="F659" s="21" t="s">
        <v>75</v>
      </c>
      <c r="G659" s="20" t="s">
        <v>945</v>
      </c>
      <c r="H659" s="377" t="s">
        <v>1017</v>
      </c>
      <c r="I659" s="377"/>
      <c r="J659" s="377" t="s">
        <v>1018</v>
      </c>
      <c r="K659" s="377"/>
      <c r="L659" s="1"/>
      <c r="M659" s="2"/>
      <c r="N659" s="19">
        <v>8.5</v>
      </c>
      <c r="O659" s="22" t="str">
        <f t="shared" si="26"/>
        <v/>
      </c>
      <c r="P659" s="21" t="s">
        <v>349</v>
      </c>
      <c r="Q659" s="375" t="s">
        <v>224</v>
      </c>
      <c r="R659" s="375"/>
      <c r="S659" s="375"/>
      <c r="T659" s="93"/>
      <c r="U659" s="11"/>
      <c r="V659" s="320">
        <v>0</v>
      </c>
      <c r="W659" s="372" t="str">
        <f>IF(OR(G659="Collectors",G659="Special Pricing",G659="Boutique",G659="leafjoy littles",G659="Premium"),
    IF(V659&gt;0,"Show","Hide"),
    IF(V659 &gt;= _xlfn.XLOOKUP(F659,'Min table'!C$3:C$5,),"Show","Hide")
)</f>
        <v>Hide</v>
      </c>
      <c r="X659" s="317" t="s">
        <v>2326</v>
      </c>
      <c r="Y659" s="317" t="s">
        <v>2326</v>
      </c>
    </row>
    <row r="660" spans="3:25" ht="18.75" hidden="1" x14ac:dyDescent="0.3">
      <c r="C660" s="322"/>
      <c r="D660" s="9"/>
      <c r="E660" s="9"/>
      <c r="F660" s="21" t="s">
        <v>75</v>
      </c>
      <c r="G660" s="20" t="s">
        <v>942</v>
      </c>
      <c r="H660" s="377" t="s">
        <v>1019</v>
      </c>
      <c r="I660" s="377"/>
      <c r="J660" s="377" t="s">
        <v>1020</v>
      </c>
      <c r="K660" s="377"/>
      <c r="L660" s="1"/>
      <c r="M660" s="2"/>
      <c r="N660" s="19">
        <v>11.5</v>
      </c>
      <c r="O660" s="22" t="str">
        <f t="shared" si="26"/>
        <v/>
      </c>
      <c r="P660" s="21" t="s">
        <v>231</v>
      </c>
      <c r="Q660" s="375" t="s">
        <v>242</v>
      </c>
      <c r="R660" s="375"/>
      <c r="S660" s="375"/>
      <c r="T660" s="93"/>
      <c r="U660" s="11"/>
      <c r="V660" s="320">
        <v>0</v>
      </c>
      <c r="W660" s="372" t="str">
        <f>IF(OR(G660="Collectors",G660="Special Pricing",G660="Boutique",G660="leafjoy littles",G660="Premium"),
    IF(V660&gt;0,"Show","Hide"),
    IF(V660 &gt;= _xlfn.XLOOKUP(F660,'Min table'!C$3:C$5,),"Show","Hide")
)</f>
        <v>Hide</v>
      </c>
      <c r="X660" s="317" t="s">
        <v>2327</v>
      </c>
      <c r="Y660" s="317" t="s">
        <v>2327</v>
      </c>
    </row>
    <row r="661" spans="3:25" ht="18.75" hidden="1" x14ac:dyDescent="0.3">
      <c r="C661" s="322"/>
      <c r="D661" s="9"/>
      <c r="E661" s="9"/>
      <c r="F661" s="21" t="s">
        <v>75</v>
      </c>
      <c r="G661" s="20" t="s">
        <v>991</v>
      </c>
      <c r="H661" s="377" t="s">
        <v>1021</v>
      </c>
      <c r="I661" s="377"/>
      <c r="J661" s="377" t="s">
        <v>1022</v>
      </c>
      <c r="K661" s="377"/>
      <c r="L661" s="1"/>
      <c r="M661" s="2"/>
      <c r="N661" s="19">
        <v>20</v>
      </c>
      <c r="O661" s="22" t="str">
        <f t="shared" si="26"/>
        <v/>
      </c>
      <c r="P661" s="21" t="s">
        <v>231</v>
      </c>
      <c r="Q661" s="375" t="s">
        <v>341</v>
      </c>
      <c r="R661" s="375"/>
      <c r="S661" s="375"/>
      <c r="T661" s="93"/>
      <c r="U661" s="11"/>
      <c r="V661" s="320">
        <v>0</v>
      </c>
      <c r="W661" s="372" t="str">
        <f>IF(OR(G661="Collectors",G661="Special Pricing",G661="Boutique",G661="leafjoy littles",G661="Premium"),
    IF(V661&gt;0,"Show","Hide"),
    IF(V661 &gt;= _xlfn.XLOOKUP(F661,'Min table'!C$3:C$5,),"Show","Hide")
)</f>
        <v>Hide</v>
      </c>
      <c r="X661" s="317" t="s">
        <v>2328</v>
      </c>
      <c r="Y661" s="317" t="s">
        <v>2328</v>
      </c>
    </row>
    <row r="662" spans="3:25" ht="18.75" hidden="1" x14ac:dyDescent="0.3">
      <c r="C662" s="322"/>
      <c r="D662" s="9"/>
      <c r="E662" s="9"/>
      <c r="F662" s="21" t="s">
        <v>75</v>
      </c>
      <c r="G662" s="20" t="s">
        <v>991</v>
      </c>
      <c r="H662" s="377" t="s">
        <v>1023</v>
      </c>
      <c r="I662" s="377"/>
      <c r="J662" s="377" t="s">
        <v>1024</v>
      </c>
      <c r="K662" s="377"/>
      <c r="L662" s="1"/>
      <c r="M662" s="2"/>
      <c r="N662" s="19">
        <v>20</v>
      </c>
      <c r="O662" s="22" t="str">
        <f t="shared" si="26"/>
        <v/>
      </c>
      <c r="P662" s="21" t="s">
        <v>486</v>
      </c>
      <c r="Q662" s="375" t="s">
        <v>341</v>
      </c>
      <c r="R662" s="375"/>
      <c r="S662" s="375"/>
      <c r="T662" s="93"/>
      <c r="U662" s="11"/>
      <c r="V662" s="320">
        <v>0</v>
      </c>
      <c r="W662" s="372" t="str">
        <f>IF(OR(G662="Collectors",G662="Special Pricing",G662="Boutique",G662="leafjoy littles",G662="Premium"),
    IF(V662&gt;0,"Show","Hide"),
    IF(V662 &gt;= _xlfn.XLOOKUP(F662,'Min table'!C$3:C$5,),"Show","Hide")
)</f>
        <v>Hide</v>
      </c>
      <c r="X662" s="317" t="s">
        <v>2329</v>
      </c>
      <c r="Y662" s="317" t="s">
        <v>2329</v>
      </c>
    </row>
    <row r="663" spans="3:25" ht="18.75" hidden="1" x14ac:dyDescent="0.3">
      <c r="C663" s="322"/>
      <c r="D663" s="9"/>
      <c r="E663" s="9"/>
      <c r="F663" s="21" t="s">
        <v>75</v>
      </c>
      <c r="G663" s="20" t="s">
        <v>942</v>
      </c>
      <c r="H663" s="377" t="s">
        <v>1025</v>
      </c>
      <c r="I663" s="377"/>
      <c r="J663" s="377" t="s">
        <v>1026</v>
      </c>
      <c r="K663" s="377"/>
      <c r="L663" s="1"/>
      <c r="M663" s="2"/>
      <c r="N663" s="19">
        <v>11.5</v>
      </c>
      <c r="O663" s="22" t="str">
        <f t="shared" si="26"/>
        <v/>
      </c>
      <c r="P663" s="19" t="s">
        <v>895</v>
      </c>
      <c r="Q663" s="375" t="s">
        <v>242</v>
      </c>
      <c r="R663" s="375"/>
      <c r="S663" s="375"/>
      <c r="T663" s="93"/>
      <c r="U663" s="11"/>
      <c r="V663" s="320">
        <v>0</v>
      </c>
      <c r="W663" s="372" t="str">
        <f>IF(OR(G663="Collectors",G663="Special Pricing",G663="Boutique",G663="leafjoy littles",G663="Premium"),
    IF(V663&gt;0,"Show","Hide"),
    IF(V663 &gt;= _xlfn.XLOOKUP(F663,'Min table'!C$3:C$5,),"Show","Hide")
)</f>
        <v>Hide</v>
      </c>
      <c r="X663" s="317" t="s">
        <v>2330</v>
      </c>
      <c r="Y663" s="317" t="s">
        <v>2330</v>
      </c>
    </row>
    <row r="664" spans="3:25" ht="18.75" hidden="1" x14ac:dyDescent="0.3">
      <c r="C664" s="322"/>
      <c r="D664" s="9"/>
      <c r="E664" s="9"/>
      <c r="F664" s="21" t="s">
        <v>75</v>
      </c>
      <c r="G664" s="20" t="s">
        <v>942</v>
      </c>
      <c r="H664" s="377" t="s">
        <v>1027</v>
      </c>
      <c r="I664" s="377"/>
      <c r="J664" s="377">
        <v>0</v>
      </c>
      <c r="K664" s="377"/>
      <c r="L664" s="1"/>
      <c r="M664" s="2"/>
      <c r="N664" s="19">
        <v>11.5</v>
      </c>
      <c r="O664" s="22" t="str">
        <f t="shared" si="26"/>
        <v/>
      </c>
      <c r="P664" s="19" t="s">
        <v>349</v>
      </c>
      <c r="Q664" s="375" t="s">
        <v>242</v>
      </c>
      <c r="R664" s="375"/>
      <c r="S664" s="375"/>
      <c r="T664" s="93"/>
      <c r="U664" s="11"/>
      <c r="V664" s="320">
        <v>0</v>
      </c>
      <c r="W664" s="372" t="str">
        <f>IF(OR(G664="Collectors",G664="Special Pricing",G664="Boutique",G664="leafjoy littles",G664="Premium"),
    IF(V664&gt;0,"Show","Hide"),
    IF(V664 &gt;= _xlfn.XLOOKUP(F664,'Min table'!C$3:C$5,),"Show","Hide")
)</f>
        <v>Hide</v>
      </c>
      <c r="X664" s="317" t="s">
        <v>2331</v>
      </c>
      <c r="Y664" s="317" t="s">
        <v>2331</v>
      </c>
    </row>
    <row r="665" spans="3:25" ht="18.75" hidden="1" x14ac:dyDescent="0.3">
      <c r="C665" s="322"/>
      <c r="D665" s="9"/>
      <c r="E665" s="9"/>
      <c r="F665" s="21" t="s">
        <v>75</v>
      </c>
      <c r="G665" s="20" t="s">
        <v>991</v>
      </c>
      <c r="H665" s="377" t="s">
        <v>1028</v>
      </c>
      <c r="I665" s="377"/>
      <c r="J665" s="377">
        <v>0</v>
      </c>
      <c r="K665" s="377"/>
      <c r="L665" s="1"/>
      <c r="M665" s="2"/>
      <c r="N665" s="19">
        <v>20</v>
      </c>
      <c r="O665" s="22" t="str">
        <f t="shared" si="26"/>
        <v/>
      </c>
      <c r="P665" s="19" t="s">
        <v>349</v>
      </c>
      <c r="Q665" s="375" t="s">
        <v>341</v>
      </c>
      <c r="R665" s="375"/>
      <c r="S665" s="375"/>
      <c r="T665" s="93"/>
      <c r="U665" s="11"/>
      <c r="V665" s="320">
        <v>0</v>
      </c>
      <c r="W665" s="372" t="str">
        <f>IF(OR(G665="Collectors",G665="Special Pricing",G665="Boutique",G665="leafjoy littles",G665="Premium"),
    IF(V665&gt;0,"Show","Hide"),
    IF(V665 &gt;= _xlfn.XLOOKUP(F665,'Min table'!C$3:C$5,),"Show","Hide")
)</f>
        <v>Hide</v>
      </c>
      <c r="X665" s="317" t="s">
        <v>2332</v>
      </c>
      <c r="Y665" s="317" t="s">
        <v>2332</v>
      </c>
    </row>
    <row r="666" spans="3:25" ht="18.75" hidden="1" x14ac:dyDescent="0.3">
      <c r="C666" s="322"/>
      <c r="D666" s="9"/>
      <c r="E666" s="9"/>
      <c r="F666" s="21" t="s">
        <v>75</v>
      </c>
      <c r="G666" s="20" t="s">
        <v>991</v>
      </c>
      <c r="H666" s="377" t="s">
        <v>1029</v>
      </c>
      <c r="I666" s="377"/>
      <c r="J666" s="377" t="s">
        <v>1030</v>
      </c>
      <c r="K666" s="377"/>
      <c r="L666" s="1"/>
      <c r="M666" s="2"/>
      <c r="N666" s="19">
        <v>20</v>
      </c>
      <c r="O666" s="22" t="str">
        <f t="shared" si="26"/>
        <v/>
      </c>
      <c r="P666" s="19" t="s">
        <v>344</v>
      </c>
      <c r="Q666" s="375" t="s">
        <v>341</v>
      </c>
      <c r="R666" s="375"/>
      <c r="S666" s="375"/>
      <c r="T666" s="93"/>
      <c r="U666" s="11"/>
      <c r="V666" s="320">
        <v>0</v>
      </c>
      <c r="W666" s="372" t="str">
        <f>IF(OR(G666="Collectors",G666="Special Pricing",G666="Boutique",G666="leafjoy littles",G666="Premium"),
    IF(V666&gt;0,"Show","Hide"),
    IF(V666 &gt;= _xlfn.XLOOKUP(F666,'Min table'!C$3:C$5,),"Show","Hide")
)</f>
        <v>Hide</v>
      </c>
      <c r="X666" s="317" t="s">
        <v>2333</v>
      </c>
      <c r="Y666" s="317" t="s">
        <v>2333</v>
      </c>
    </row>
    <row r="667" spans="3:25" ht="18.75" hidden="1" x14ac:dyDescent="0.3">
      <c r="C667" s="322"/>
      <c r="D667" s="9"/>
      <c r="E667" s="9"/>
      <c r="F667" s="21" t="s">
        <v>75</v>
      </c>
      <c r="G667" s="20" t="s">
        <v>945</v>
      </c>
      <c r="H667" s="377" t="s">
        <v>1031</v>
      </c>
      <c r="I667" s="377"/>
      <c r="J667" s="377" t="s">
        <v>1009</v>
      </c>
      <c r="K667" s="377"/>
      <c r="L667" s="1"/>
      <c r="M667" s="2"/>
      <c r="N667" s="19">
        <v>8.5</v>
      </c>
      <c r="O667" s="22" t="str">
        <f t="shared" si="26"/>
        <v/>
      </c>
      <c r="P667" s="21" t="s">
        <v>1016</v>
      </c>
      <c r="Q667" s="375" t="s">
        <v>224</v>
      </c>
      <c r="R667" s="375"/>
      <c r="S667" s="375"/>
      <c r="T667" s="93"/>
      <c r="U667" s="11"/>
      <c r="V667" s="320">
        <v>0</v>
      </c>
      <c r="W667" s="372" t="str">
        <f>IF(OR(G667="Collectors",G667="Special Pricing",G667="Boutique",G667="leafjoy littles",G667="Premium"),
    IF(V667&gt;0,"Show","Hide"),
    IF(V667 &gt;= _xlfn.XLOOKUP(F667,'Min table'!C$3:C$5,),"Show","Hide")
)</f>
        <v>Hide</v>
      </c>
      <c r="X667" s="317" t="s">
        <v>2334</v>
      </c>
      <c r="Y667" s="317" t="s">
        <v>2334</v>
      </c>
    </row>
    <row r="668" spans="3:25" ht="18.75" hidden="1" x14ac:dyDescent="0.3">
      <c r="C668" s="322"/>
      <c r="D668" s="9"/>
      <c r="E668" s="9"/>
      <c r="F668" s="21" t="s">
        <v>75</v>
      </c>
      <c r="G668" s="20" t="s">
        <v>945</v>
      </c>
      <c r="H668" s="377" t="s">
        <v>1032</v>
      </c>
      <c r="I668" s="377"/>
      <c r="J668" s="377" t="s">
        <v>1033</v>
      </c>
      <c r="K668" s="377"/>
      <c r="L668" s="1"/>
      <c r="M668" s="2"/>
      <c r="N668" s="19">
        <v>8.5</v>
      </c>
      <c r="O668" s="22" t="str">
        <f t="shared" si="26"/>
        <v/>
      </c>
      <c r="P668" s="21" t="s">
        <v>1034</v>
      </c>
      <c r="Q668" s="375" t="s">
        <v>224</v>
      </c>
      <c r="R668" s="375"/>
      <c r="S668" s="375"/>
      <c r="T668" s="93"/>
      <c r="U668" s="11"/>
      <c r="V668" s="320">
        <v>0</v>
      </c>
      <c r="W668" s="372" t="str">
        <f>IF(OR(G668="Collectors",G668="Special Pricing",G668="Boutique",G668="leafjoy littles",G668="Premium"),
    IF(V668&gt;0,"Show","Hide"),
    IF(V668 &gt;= _xlfn.XLOOKUP(F668,'Min table'!C$3:C$5,),"Show","Hide")
)</f>
        <v>Hide</v>
      </c>
      <c r="X668" s="317" t="s">
        <v>2335</v>
      </c>
      <c r="Y668" s="317" t="s">
        <v>2335</v>
      </c>
    </row>
    <row r="669" spans="3:25" ht="18.75" hidden="1" x14ac:dyDescent="0.3">
      <c r="C669" s="322"/>
      <c r="D669" s="9"/>
      <c r="E669" s="9"/>
      <c r="F669" s="21" t="s">
        <v>75</v>
      </c>
      <c r="G669" s="20" t="s">
        <v>945</v>
      </c>
      <c r="H669" s="377" t="s">
        <v>1035</v>
      </c>
      <c r="I669" s="377"/>
      <c r="J669" s="377" t="s">
        <v>1036</v>
      </c>
      <c r="K669" s="377"/>
      <c r="L669" s="1"/>
      <c r="M669" s="2"/>
      <c r="N669" s="19">
        <v>8.5</v>
      </c>
      <c r="O669" s="22" t="str">
        <f t="shared" si="26"/>
        <v/>
      </c>
      <c r="P669" s="21" t="s">
        <v>1034</v>
      </c>
      <c r="Q669" s="375" t="s">
        <v>224</v>
      </c>
      <c r="R669" s="375"/>
      <c r="S669" s="375"/>
      <c r="T669" s="93"/>
      <c r="U669" s="11"/>
      <c r="V669" s="320">
        <v>0</v>
      </c>
      <c r="W669" s="372" t="str">
        <f>IF(OR(G669="Collectors",G669="Special Pricing",G669="Boutique",G669="leafjoy littles",G669="Premium"),
    IF(V669&gt;0,"Show","Hide"),
    IF(V669 &gt;= _xlfn.XLOOKUP(F669,'Min table'!C$3:C$5,),"Show","Hide")
)</f>
        <v>Hide</v>
      </c>
      <c r="X669" s="317" t="s">
        <v>2336</v>
      </c>
      <c r="Y669" s="317" t="s">
        <v>2336</v>
      </c>
    </row>
    <row r="670" spans="3:25" ht="18.75" hidden="1" x14ac:dyDescent="0.3">
      <c r="C670" s="322"/>
      <c r="D670" s="9"/>
      <c r="E670" s="9"/>
      <c r="F670" s="21" t="s">
        <v>75</v>
      </c>
      <c r="G670" s="20" t="s">
        <v>945</v>
      </c>
      <c r="H670" s="377" t="s">
        <v>1037</v>
      </c>
      <c r="I670" s="377"/>
      <c r="J670" s="377" t="s">
        <v>1038</v>
      </c>
      <c r="K670" s="377"/>
      <c r="L670" s="1"/>
      <c r="M670" s="2"/>
      <c r="N670" s="19">
        <v>8.5</v>
      </c>
      <c r="O670" s="22" t="str">
        <f t="shared" si="26"/>
        <v/>
      </c>
      <c r="P670" s="21" t="s">
        <v>1034</v>
      </c>
      <c r="Q670" s="375" t="s">
        <v>224</v>
      </c>
      <c r="R670" s="375"/>
      <c r="S670" s="375"/>
      <c r="T670" s="93"/>
      <c r="U670" s="11"/>
      <c r="V670" s="320">
        <v>0</v>
      </c>
      <c r="W670" s="372" t="str">
        <f>IF(OR(G670="Collectors",G670="Special Pricing",G670="Boutique",G670="leafjoy littles",G670="Premium"),
    IF(V670&gt;0,"Show","Hide"),
    IF(V670 &gt;= _xlfn.XLOOKUP(F670,'Min table'!C$3:C$5,),"Show","Hide")
)</f>
        <v>Hide</v>
      </c>
      <c r="X670" s="317" t="s">
        <v>2337</v>
      </c>
      <c r="Y670" s="317" t="s">
        <v>2337</v>
      </c>
    </row>
    <row r="671" spans="3:25" ht="18.75" hidden="1" x14ac:dyDescent="0.3">
      <c r="C671" s="322"/>
      <c r="D671" s="9"/>
      <c r="E671" s="9"/>
      <c r="F671" s="21" t="s">
        <v>75</v>
      </c>
      <c r="G671" s="20" t="s">
        <v>945</v>
      </c>
      <c r="H671" s="377" t="s">
        <v>1039</v>
      </c>
      <c r="I671" s="377"/>
      <c r="J671" s="377" t="s">
        <v>1040</v>
      </c>
      <c r="K671" s="377"/>
      <c r="L671" s="1"/>
      <c r="M671" s="2"/>
      <c r="N671" s="19">
        <v>8.5</v>
      </c>
      <c r="O671" s="22" t="str">
        <f t="shared" si="26"/>
        <v/>
      </c>
      <c r="P671" s="21" t="s">
        <v>349</v>
      </c>
      <c r="Q671" s="375" t="s">
        <v>224</v>
      </c>
      <c r="R671" s="375"/>
      <c r="S671" s="375"/>
      <c r="T671" s="93"/>
      <c r="U671" s="11"/>
      <c r="V671" s="320">
        <v>0</v>
      </c>
      <c r="W671" s="372" t="str">
        <f>IF(OR(G671="Collectors",G671="Special Pricing",G671="Boutique",G671="leafjoy littles",G671="Premium"),
    IF(V671&gt;0,"Show","Hide"),
    IF(V671 &gt;= _xlfn.XLOOKUP(F671,'Min table'!C$3:C$5,),"Show","Hide")
)</f>
        <v>Hide</v>
      </c>
      <c r="X671" s="317" t="s">
        <v>2338</v>
      </c>
      <c r="Y671" s="317" t="s">
        <v>2338</v>
      </c>
    </row>
    <row r="672" spans="3:25" ht="18.75" hidden="1" x14ac:dyDescent="0.3">
      <c r="C672" s="322"/>
      <c r="D672" s="9"/>
      <c r="E672" s="9"/>
      <c r="F672" s="21" t="s">
        <v>75</v>
      </c>
      <c r="G672" s="20" t="s">
        <v>945</v>
      </c>
      <c r="H672" s="420" t="s">
        <v>2784</v>
      </c>
      <c r="I672" s="421"/>
      <c r="J672" s="421"/>
      <c r="K672" s="422"/>
      <c r="L672" s="1"/>
      <c r="M672" s="2"/>
      <c r="N672" s="19">
        <v>8.5</v>
      </c>
      <c r="O672" s="22" t="str">
        <f t="shared" ref="O672" si="32">IF(AND(L672="",M672=""),"",(L672*N672)+(M672*(N672+2.25)))</f>
        <v/>
      </c>
      <c r="P672" s="19" t="s">
        <v>1862</v>
      </c>
      <c r="Q672" s="375" t="s">
        <v>224</v>
      </c>
      <c r="R672" s="375"/>
      <c r="S672" s="375"/>
      <c r="T672" s="93"/>
      <c r="U672" s="11"/>
      <c r="V672" s="320">
        <v>0</v>
      </c>
      <c r="W672" s="372" t="str">
        <f>IF(OR(G672="Collectors",G672="Special Pricing",G672="Boutique",G672="leafjoy littles",G672="Premium"),
    IF(V672&gt;0,"Show","Hide"),
    IF(V672 &gt;= _xlfn.XLOOKUP(F672,'Min table'!C$3:C$5,),"Show","Hide")
)</f>
        <v>Hide</v>
      </c>
    </row>
    <row r="673" spans="3:25" ht="18.75" hidden="1" x14ac:dyDescent="0.3">
      <c r="C673" s="322"/>
      <c r="D673" s="9"/>
      <c r="E673" s="9"/>
      <c r="F673" s="21" t="s">
        <v>75</v>
      </c>
      <c r="G673" s="20" t="s">
        <v>945</v>
      </c>
      <c r="H673" s="377" t="s">
        <v>1041</v>
      </c>
      <c r="I673" s="377"/>
      <c r="J673" s="377" t="s">
        <v>1042</v>
      </c>
      <c r="K673" s="377"/>
      <c r="L673" s="1"/>
      <c r="M673" s="2"/>
      <c r="N673" s="19">
        <v>8.5</v>
      </c>
      <c r="O673" s="22" t="str">
        <f t="shared" si="26"/>
        <v/>
      </c>
      <c r="P673" s="21" t="s">
        <v>497</v>
      </c>
      <c r="Q673" s="375" t="s">
        <v>224</v>
      </c>
      <c r="R673" s="375"/>
      <c r="S673" s="375"/>
      <c r="T673" s="93"/>
      <c r="U673" s="11"/>
      <c r="V673" s="320">
        <v>0</v>
      </c>
      <c r="W673" s="372" t="str">
        <f>IF(OR(G673="Collectors",G673="Special Pricing",G673="Boutique",G673="leafjoy littles",G673="Premium"),
    IF(V673&gt;0,"Show","Hide"),
    IF(V673 &gt;= _xlfn.XLOOKUP(F673,'Min table'!C$3:C$5,),"Show","Hide")
)</f>
        <v>Hide</v>
      </c>
      <c r="X673" s="317" t="s">
        <v>2339</v>
      </c>
      <c r="Y673" s="317" t="s">
        <v>2339</v>
      </c>
    </row>
    <row r="674" spans="3:25" ht="18.75" hidden="1" x14ac:dyDescent="0.3">
      <c r="C674" s="322"/>
      <c r="D674" s="9"/>
      <c r="E674" s="9"/>
      <c r="F674" s="21" t="s">
        <v>75</v>
      </c>
      <c r="G674" s="20" t="s">
        <v>945</v>
      </c>
      <c r="H674" s="377" t="s">
        <v>1886</v>
      </c>
      <c r="I674" s="377"/>
      <c r="J674" s="377"/>
      <c r="K674" s="377"/>
      <c r="L674" s="1"/>
      <c r="M674" s="2"/>
      <c r="N674" s="19">
        <v>8.5</v>
      </c>
      <c r="O674" s="22" t="str">
        <f t="shared" si="26"/>
        <v/>
      </c>
      <c r="P674" s="21" t="s">
        <v>1882</v>
      </c>
      <c r="Q674" s="375" t="s">
        <v>224</v>
      </c>
      <c r="R674" s="375"/>
      <c r="S674" s="375"/>
      <c r="T674" s="93"/>
      <c r="U674" s="11"/>
      <c r="V674" s="320">
        <v>0</v>
      </c>
      <c r="W674" s="372" t="str">
        <f>IF(OR(G674="Collectors",G674="Special Pricing",G674="Boutique",G674="leafjoy littles",G674="Premium"),
    IF(V674&gt;0,"Show","Hide"),
    IF(V674 &gt;= _xlfn.XLOOKUP(F674,'Min table'!C$3:C$5,),"Show","Hide")
)</f>
        <v>Hide</v>
      </c>
      <c r="X674" s="317" t="s">
        <v>2340</v>
      </c>
      <c r="Y674" s="317" t="s">
        <v>2340</v>
      </c>
    </row>
    <row r="675" spans="3:25" ht="18.75" hidden="1" x14ac:dyDescent="0.3">
      <c r="C675" s="322"/>
      <c r="D675" s="9"/>
      <c r="E675" s="9"/>
      <c r="F675" s="21" t="s">
        <v>75</v>
      </c>
      <c r="G675" s="20" t="s">
        <v>945</v>
      </c>
      <c r="H675" s="377" t="s">
        <v>2575</v>
      </c>
      <c r="I675" s="377"/>
      <c r="J675" s="377"/>
      <c r="K675" s="377"/>
      <c r="L675" s="1"/>
      <c r="M675" s="2"/>
      <c r="N675" s="19">
        <v>8.5</v>
      </c>
      <c r="O675" s="22" t="str">
        <f t="shared" si="26"/>
        <v/>
      </c>
      <c r="P675" s="21" t="s">
        <v>1882</v>
      </c>
      <c r="Q675" s="375" t="s">
        <v>224</v>
      </c>
      <c r="R675" s="375"/>
      <c r="S675" s="375"/>
      <c r="T675" s="93"/>
      <c r="U675" s="11"/>
      <c r="V675" s="320">
        <v>19</v>
      </c>
      <c r="W675" s="372" t="str">
        <f>IF(OR(G675="Collectors",G675="Special Pricing",G675="Boutique",G675="leafjoy littles",G675="Premium"),
    IF(V675&gt;0,"Show","Hide"),
    IF(V675 &gt;= _xlfn.XLOOKUP(F675,'Min table'!C$3:C$5,),"Show","Hide")
)</f>
        <v>Show</v>
      </c>
      <c r="X675" s="317" t="s">
        <v>2619</v>
      </c>
    </row>
    <row r="676" spans="3:25" ht="18.75" hidden="1" x14ac:dyDescent="0.3">
      <c r="C676" s="322"/>
      <c r="D676" s="9"/>
      <c r="E676" s="9"/>
      <c r="F676" s="21" t="s">
        <v>75</v>
      </c>
      <c r="G676" s="20" t="s">
        <v>945</v>
      </c>
      <c r="H676" s="377" t="s">
        <v>1885</v>
      </c>
      <c r="I676" s="377"/>
      <c r="J676" s="377"/>
      <c r="K676" s="377"/>
      <c r="L676" s="1"/>
      <c r="M676" s="2"/>
      <c r="N676" s="19">
        <v>8.5</v>
      </c>
      <c r="O676" s="22" t="str">
        <f t="shared" si="26"/>
        <v/>
      </c>
      <c r="P676" s="21" t="s">
        <v>1882</v>
      </c>
      <c r="Q676" s="375" t="s">
        <v>224</v>
      </c>
      <c r="R676" s="375"/>
      <c r="S676" s="375"/>
      <c r="T676" s="93"/>
      <c r="U676" s="11"/>
      <c r="V676" s="320">
        <v>5</v>
      </c>
      <c r="W676" s="372" t="str">
        <f>IF(OR(G676="Collectors",G676="Special Pricing",G676="Boutique",G676="leafjoy littles",G676="Premium"),
    IF(V676&gt;0,"Show","Hide"),
    IF(V676 &gt;= _xlfn.XLOOKUP(F676,'Min table'!C$3:C$5,),"Show","Hide")
)</f>
        <v>Show</v>
      </c>
      <c r="X676" s="317" t="s">
        <v>2341</v>
      </c>
      <c r="Y676" s="317" t="s">
        <v>2341</v>
      </c>
    </row>
    <row r="677" spans="3:25" ht="18.75" hidden="1" x14ac:dyDescent="0.3">
      <c r="C677" s="322"/>
      <c r="D677" s="9"/>
      <c r="E677" s="9"/>
      <c r="F677" s="21" t="s">
        <v>75</v>
      </c>
      <c r="G677" s="20" t="s">
        <v>945</v>
      </c>
      <c r="H677" s="377" t="s">
        <v>2574</v>
      </c>
      <c r="I677" s="377"/>
      <c r="J677" s="377"/>
      <c r="K677" s="377"/>
      <c r="L677" s="1"/>
      <c r="M677" s="2"/>
      <c r="N677" s="19">
        <v>8.5</v>
      </c>
      <c r="O677" s="22" t="str">
        <f t="shared" si="26"/>
        <v/>
      </c>
      <c r="P677" s="21" t="s">
        <v>2596</v>
      </c>
      <c r="Q677" s="375" t="s">
        <v>224</v>
      </c>
      <c r="R677" s="375"/>
      <c r="S677" s="375"/>
      <c r="T677" s="93"/>
      <c r="U677" s="11"/>
      <c r="V677" s="320">
        <v>5</v>
      </c>
      <c r="W677" s="372" t="str">
        <f>IF(OR(G677="Collectors",G677="Special Pricing",G677="Boutique",G677="leafjoy littles",G677="Premium"),
    IF(V677&gt;0,"Show","Hide"),
    IF(V677 &gt;= _xlfn.XLOOKUP(F677,'Min table'!C$3:C$5,),"Show","Hide")
)</f>
        <v>Show</v>
      </c>
      <c r="X677" s="317" t="s">
        <v>2620</v>
      </c>
    </row>
    <row r="678" spans="3:25" ht="18.75" hidden="1" x14ac:dyDescent="0.3">
      <c r="C678" s="322"/>
      <c r="D678" s="9"/>
      <c r="E678" s="9"/>
      <c r="F678" s="21" t="s">
        <v>75</v>
      </c>
      <c r="G678" s="20" t="s">
        <v>942</v>
      </c>
      <c r="H678" s="377" t="s">
        <v>1043</v>
      </c>
      <c r="I678" s="377"/>
      <c r="J678" s="377" t="s">
        <v>1044</v>
      </c>
      <c r="K678" s="377"/>
      <c r="L678" s="1"/>
      <c r="M678" s="2"/>
      <c r="N678" s="19">
        <v>11.5</v>
      </c>
      <c r="O678" s="22" t="str">
        <f t="shared" si="26"/>
        <v/>
      </c>
      <c r="P678" s="21" t="s">
        <v>486</v>
      </c>
      <c r="Q678" s="375" t="s">
        <v>242</v>
      </c>
      <c r="R678" s="375"/>
      <c r="S678" s="375"/>
      <c r="T678" s="93"/>
      <c r="U678" s="11"/>
      <c r="V678" s="320">
        <v>0</v>
      </c>
      <c r="W678" s="372" t="str">
        <f>IF(OR(G678="Collectors",G678="Special Pricing",G678="Boutique",G678="leafjoy littles",G678="Premium"),
    IF(V678&gt;0,"Show","Hide"),
    IF(V678 &gt;= _xlfn.XLOOKUP(F678,'Min table'!C$3:C$5,),"Show","Hide")
)</f>
        <v>Hide</v>
      </c>
      <c r="X678" s="317" t="s">
        <v>2342</v>
      </c>
      <c r="Y678" s="317" t="s">
        <v>2342</v>
      </c>
    </row>
    <row r="679" spans="3:25" ht="18.75" x14ac:dyDescent="0.3">
      <c r="C679" s="322"/>
      <c r="D679" s="9"/>
      <c r="E679" s="9"/>
      <c r="F679" s="21" t="s">
        <v>75</v>
      </c>
      <c r="G679" s="20" t="s">
        <v>942</v>
      </c>
      <c r="H679" s="376" t="s">
        <v>2800</v>
      </c>
      <c r="I679" s="376"/>
      <c r="J679" s="376" t="s">
        <v>1045</v>
      </c>
      <c r="K679" s="376"/>
      <c r="L679" s="1"/>
      <c r="M679" s="2"/>
      <c r="N679" s="19">
        <v>11.5</v>
      </c>
      <c r="O679" s="22" t="str">
        <f t="shared" si="26"/>
        <v/>
      </c>
      <c r="P679" s="19" t="s">
        <v>1046</v>
      </c>
      <c r="Q679" s="375" t="s">
        <v>242</v>
      </c>
      <c r="R679" s="375"/>
      <c r="S679" s="375"/>
      <c r="T679" s="106"/>
      <c r="U679" s="11"/>
      <c r="V679" s="320">
        <v>13</v>
      </c>
      <c r="W679" s="372" t="str">
        <f>IF(OR(G679="Collectors",G679="Special Pricing",G679="Boutique",G679="leafjoy littles",G679="Premium"),
    IF(V679&gt;0,"Show","Hide"),
    IF(V679 &gt;= _xlfn.XLOOKUP(F679,'Min table'!C$3:C$5,),"Show","Hide")
)</f>
        <v>Show</v>
      </c>
      <c r="X679" s="317" t="s">
        <v>2343</v>
      </c>
      <c r="Y679" s="317" t="s">
        <v>2343</v>
      </c>
    </row>
    <row r="680" spans="3:25" ht="18.75" hidden="1" x14ac:dyDescent="0.3">
      <c r="C680" s="322"/>
      <c r="D680" s="9"/>
      <c r="E680" s="9"/>
      <c r="F680" s="21" t="s">
        <v>75</v>
      </c>
      <c r="G680" s="20" t="s">
        <v>942</v>
      </c>
      <c r="H680" s="377" t="s">
        <v>1047</v>
      </c>
      <c r="I680" s="377"/>
      <c r="J680" s="377" t="s">
        <v>1048</v>
      </c>
      <c r="K680" s="377"/>
      <c r="L680" s="1"/>
      <c r="M680" s="2"/>
      <c r="N680" s="19">
        <v>11.5</v>
      </c>
      <c r="O680" s="22" t="str">
        <f t="shared" si="26"/>
        <v/>
      </c>
      <c r="P680" s="19" t="s">
        <v>1049</v>
      </c>
      <c r="Q680" s="375" t="s">
        <v>242</v>
      </c>
      <c r="R680" s="375"/>
      <c r="S680" s="375"/>
      <c r="T680" s="93"/>
      <c r="U680" s="11"/>
      <c r="V680" s="320">
        <v>0</v>
      </c>
      <c r="W680" s="372" t="str">
        <f>IF(OR(G680="Collectors",G680="Special Pricing",G680="Boutique",G680="leafjoy littles",G680="Premium"),
    IF(V680&gt;0,"Show","Hide"),
    IF(V680 &gt;= _xlfn.XLOOKUP(F680,'Min table'!C$3:C$5,),"Show","Hide")
)</f>
        <v>Hide</v>
      </c>
      <c r="X680" s="317" t="s">
        <v>2344</v>
      </c>
      <c r="Y680" s="317" t="s">
        <v>2344</v>
      </c>
    </row>
    <row r="681" spans="3:25" ht="18.75" hidden="1" x14ac:dyDescent="0.3">
      <c r="C681" s="322"/>
      <c r="D681" s="9"/>
      <c r="E681" s="9"/>
      <c r="F681" s="21" t="s">
        <v>75</v>
      </c>
      <c r="G681" s="20" t="s">
        <v>945</v>
      </c>
      <c r="H681" s="377" t="s">
        <v>1050</v>
      </c>
      <c r="I681" s="377"/>
      <c r="J681" s="377" t="s">
        <v>1051</v>
      </c>
      <c r="K681" s="377"/>
      <c r="L681" s="1"/>
      <c r="M681" s="2"/>
      <c r="N681" s="19">
        <v>8.5</v>
      </c>
      <c r="O681" s="22" t="str">
        <f t="shared" si="26"/>
        <v/>
      </c>
      <c r="P681" s="19" t="s">
        <v>497</v>
      </c>
      <c r="Q681" s="375" t="s">
        <v>224</v>
      </c>
      <c r="R681" s="375"/>
      <c r="S681" s="375"/>
      <c r="T681" s="93"/>
      <c r="U681" s="11"/>
      <c r="V681" s="320">
        <v>11</v>
      </c>
      <c r="W681" s="372" t="str">
        <f>IF(OR(G681="Collectors",G681="Special Pricing",G681="Boutique",G681="leafjoy littles",G681="Premium"),
    IF(V681&gt;0,"Show","Hide"),
    IF(V681 &gt;= _xlfn.XLOOKUP(F681,'Min table'!C$3:C$5,),"Show","Hide")
)</f>
        <v>Show</v>
      </c>
      <c r="X681" s="317" t="s">
        <v>2345</v>
      </c>
      <c r="Y681" s="317" t="s">
        <v>2345</v>
      </c>
    </row>
    <row r="682" spans="3:25" ht="18.75" hidden="1" x14ac:dyDescent="0.3">
      <c r="C682" s="322"/>
      <c r="D682" s="9"/>
      <c r="E682" s="9"/>
      <c r="F682" s="21" t="s">
        <v>75</v>
      </c>
      <c r="G682" s="20" t="s">
        <v>945</v>
      </c>
      <c r="H682" s="377" t="s">
        <v>1052</v>
      </c>
      <c r="I682" s="377"/>
      <c r="J682" s="377" t="s">
        <v>1053</v>
      </c>
      <c r="K682" s="377"/>
      <c r="L682" s="1"/>
      <c r="M682" s="2"/>
      <c r="N682" s="19">
        <v>8.5</v>
      </c>
      <c r="O682" s="22" t="str">
        <f t="shared" si="26"/>
        <v/>
      </c>
      <c r="P682" s="19" t="s">
        <v>998</v>
      </c>
      <c r="Q682" s="375" t="s">
        <v>224</v>
      </c>
      <c r="R682" s="375"/>
      <c r="S682" s="375"/>
      <c r="T682" s="93"/>
      <c r="U682" s="11"/>
      <c r="V682" s="320">
        <v>0</v>
      </c>
      <c r="W682" s="372" t="str">
        <f>IF(OR(G682="Collectors",G682="Special Pricing",G682="Boutique",G682="leafjoy littles",G682="Premium"),
    IF(V682&gt;0,"Show","Hide"),
    IF(V682 &gt;= _xlfn.XLOOKUP(F682,'Min table'!C$3:C$5,),"Show","Hide")
)</f>
        <v>Hide</v>
      </c>
      <c r="X682" s="317" t="s">
        <v>2346</v>
      </c>
      <c r="Y682" s="317" t="s">
        <v>2346</v>
      </c>
    </row>
    <row r="683" spans="3:25" ht="18.75" hidden="1" x14ac:dyDescent="0.3">
      <c r="C683" s="322"/>
      <c r="D683" s="9"/>
      <c r="E683" s="9"/>
      <c r="F683" s="21" t="s">
        <v>75</v>
      </c>
      <c r="G683" s="20" t="s">
        <v>945</v>
      </c>
      <c r="H683" s="377" t="s">
        <v>1054</v>
      </c>
      <c r="I683" s="377"/>
      <c r="J683" s="377" t="s">
        <v>1055</v>
      </c>
      <c r="K683" s="377"/>
      <c r="L683" s="1"/>
      <c r="M683" s="2"/>
      <c r="N683" s="19">
        <v>8.5</v>
      </c>
      <c r="O683" s="22" t="str">
        <f t="shared" si="26"/>
        <v/>
      </c>
      <c r="P683" s="19" t="s">
        <v>1056</v>
      </c>
      <c r="Q683" s="375" t="s">
        <v>224</v>
      </c>
      <c r="R683" s="375"/>
      <c r="S683" s="375"/>
      <c r="T683" s="93"/>
      <c r="U683" s="11"/>
      <c r="V683" s="320">
        <v>0</v>
      </c>
      <c r="W683" s="372" t="str">
        <f>IF(OR(G683="Collectors",G683="Special Pricing",G683="Boutique",G683="leafjoy littles",G683="Premium"),
    IF(V683&gt;0,"Show","Hide"),
    IF(V683 &gt;= _xlfn.XLOOKUP(F683,'Min table'!C$3:C$5,),"Show","Hide")
)</f>
        <v>Hide</v>
      </c>
      <c r="X683" s="317" t="s">
        <v>2347</v>
      </c>
      <c r="Y683" s="317" t="s">
        <v>2347</v>
      </c>
    </row>
    <row r="684" spans="3:25" ht="18.75" hidden="1" x14ac:dyDescent="0.3">
      <c r="C684" s="322"/>
      <c r="D684" s="9"/>
      <c r="E684" s="9"/>
      <c r="F684" s="21" t="s">
        <v>75</v>
      </c>
      <c r="G684" s="20" t="s">
        <v>945</v>
      </c>
      <c r="H684" s="377" t="s">
        <v>1057</v>
      </c>
      <c r="I684" s="377"/>
      <c r="J684" s="377" t="s">
        <v>1058</v>
      </c>
      <c r="K684" s="377"/>
      <c r="L684" s="1"/>
      <c r="M684" s="2"/>
      <c r="N684" s="19">
        <v>8.5</v>
      </c>
      <c r="O684" s="22" t="str">
        <f t="shared" si="26"/>
        <v/>
      </c>
      <c r="P684" s="19" t="s">
        <v>349</v>
      </c>
      <c r="Q684" s="375" t="s">
        <v>224</v>
      </c>
      <c r="R684" s="375"/>
      <c r="S684" s="375"/>
      <c r="T684" s="93"/>
      <c r="U684" s="11"/>
      <c r="V684" s="320">
        <v>0</v>
      </c>
      <c r="W684" s="372" t="str">
        <f>IF(OR(G684="Collectors",G684="Special Pricing",G684="Boutique",G684="leafjoy littles",G684="Premium"),
    IF(V684&gt;0,"Show","Hide"),
    IF(V684 &gt;= _xlfn.XLOOKUP(F684,'Min table'!C$3:C$5,),"Show","Hide")
)</f>
        <v>Hide</v>
      </c>
      <c r="X684" s="317" t="s">
        <v>2348</v>
      </c>
      <c r="Y684" s="317" t="s">
        <v>2348</v>
      </c>
    </row>
    <row r="685" spans="3:25" ht="18.75" x14ac:dyDescent="0.3">
      <c r="C685" s="322"/>
      <c r="D685" s="9"/>
      <c r="E685" s="9"/>
      <c r="F685" s="21" t="s">
        <v>75</v>
      </c>
      <c r="G685" s="20" t="s">
        <v>942</v>
      </c>
      <c r="H685" s="377" t="s">
        <v>1059</v>
      </c>
      <c r="I685" s="377"/>
      <c r="J685" s="377" t="s">
        <v>1060</v>
      </c>
      <c r="K685" s="377"/>
      <c r="L685" s="1"/>
      <c r="M685" s="2"/>
      <c r="N685" s="19">
        <v>11.5</v>
      </c>
      <c r="O685" s="22" t="str">
        <f t="shared" si="26"/>
        <v/>
      </c>
      <c r="P685" s="19" t="s">
        <v>1046</v>
      </c>
      <c r="Q685" s="375" t="s">
        <v>242</v>
      </c>
      <c r="R685" s="375"/>
      <c r="S685" s="375"/>
      <c r="T685" s="106"/>
      <c r="U685" s="11"/>
      <c r="V685" s="320">
        <v>70</v>
      </c>
      <c r="W685" s="372" t="str">
        <f>IF(OR(G685="Collectors",G685="Special Pricing",G685="Boutique",G685="leafjoy littles",G685="Premium"),
    IF(V685&gt;0,"Show","Hide"),
    IF(V685 &gt;= _xlfn.XLOOKUP(F685,'Min table'!C$3:C$5,),"Show","Hide")
)</f>
        <v>Show</v>
      </c>
      <c r="X685" s="317" t="s">
        <v>2349</v>
      </c>
      <c r="Y685" s="317" t="s">
        <v>2349</v>
      </c>
    </row>
    <row r="686" spans="3:25" ht="18.75" hidden="1" x14ac:dyDescent="0.3">
      <c r="C686" s="322"/>
      <c r="D686" s="9"/>
      <c r="E686" s="9"/>
      <c r="F686" s="21" t="s">
        <v>75</v>
      </c>
      <c r="G686" s="20" t="s">
        <v>945</v>
      </c>
      <c r="H686" s="420" t="s">
        <v>2783</v>
      </c>
      <c r="I686" s="421"/>
      <c r="J686" s="421"/>
      <c r="K686" s="422"/>
      <c r="L686" s="1"/>
      <c r="M686" s="2"/>
      <c r="N686" s="19">
        <v>8.5</v>
      </c>
      <c r="O686" s="22" t="str">
        <f t="shared" ref="O686" si="33">IF(AND(L686="",M686=""),"",(L686*N686)+(M686*(N686+2.25)))</f>
        <v/>
      </c>
      <c r="P686" s="19" t="s">
        <v>1862</v>
      </c>
      <c r="Q686" s="375" t="s">
        <v>224</v>
      </c>
      <c r="R686" s="375"/>
      <c r="S686" s="375"/>
      <c r="T686" s="93"/>
      <c r="U686" s="11"/>
      <c r="V686" s="320">
        <v>3</v>
      </c>
      <c r="W686" s="372" t="str">
        <f>IF(OR(G686="Collectors",G686="Special Pricing",G686="Boutique",G686="leafjoy littles",G686="Premium"),
    IF(V686&gt;0,"Show","Hide"),
    IF(V686 &gt;= _xlfn.XLOOKUP(F686,'Min table'!C$3:C$5,),"Show","Hide")
)</f>
        <v>Show</v>
      </c>
    </row>
    <row r="687" spans="3:25" ht="18.75" hidden="1" x14ac:dyDescent="0.3">
      <c r="C687" s="322"/>
      <c r="D687" s="9"/>
      <c r="E687" s="9"/>
      <c r="F687" s="21" t="s">
        <v>75</v>
      </c>
      <c r="G687" s="20" t="s">
        <v>942</v>
      </c>
      <c r="H687" s="377" t="s">
        <v>1061</v>
      </c>
      <c r="I687" s="377"/>
      <c r="J687" s="377" t="s">
        <v>1062</v>
      </c>
      <c r="K687" s="377"/>
      <c r="L687" s="1"/>
      <c r="M687" s="2"/>
      <c r="N687" s="19">
        <v>11.5</v>
      </c>
      <c r="O687" s="22" t="str">
        <f t="shared" si="26"/>
        <v/>
      </c>
      <c r="P687" s="19" t="s">
        <v>349</v>
      </c>
      <c r="Q687" s="375" t="s">
        <v>242</v>
      </c>
      <c r="R687" s="375"/>
      <c r="S687" s="375"/>
      <c r="T687" s="93"/>
      <c r="U687" s="11"/>
      <c r="V687" s="320">
        <v>0</v>
      </c>
      <c r="W687" s="372" t="str">
        <f>IF(OR(G687="Collectors",G687="Special Pricing",G687="Boutique",G687="leafjoy littles",G687="Premium"),
    IF(V687&gt;0,"Show","Hide"),
    IF(V687 &gt;= _xlfn.XLOOKUP(F687,'Min table'!C$3:C$5,),"Show","Hide")
)</f>
        <v>Hide</v>
      </c>
      <c r="X687" s="317" t="s">
        <v>2350</v>
      </c>
      <c r="Y687" s="317" t="s">
        <v>2350</v>
      </c>
    </row>
    <row r="688" spans="3:25" ht="18.75" hidden="1" x14ac:dyDescent="0.3">
      <c r="C688" s="322"/>
      <c r="D688" s="9"/>
      <c r="E688" s="9"/>
      <c r="F688" s="21" t="s">
        <v>75</v>
      </c>
      <c r="G688" s="20" t="s">
        <v>942</v>
      </c>
      <c r="H688" s="377" t="s">
        <v>1063</v>
      </c>
      <c r="I688" s="377"/>
      <c r="J688" s="377" t="s">
        <v>1064</v>
      </c>
      <c r="K688" s="377"/>
      <c r="L688" s="1"/>
      <c r="M688" s="2"/>
      <c r="N688" s="19">
        <v>11.5</v>
      </c>
      <c r="O688" s="22" t="str">
        <f t="shared" si="26"/>
        <v/>
      </c>
      <c r="P688" s="19" t="s">
        <v>349</v>
      </c>
      <c r="Q688" s="375" t="s">
        <v>242</v>
      </c>
      <c r="R688" s="375"/>
      <c r="S688" s="375"/>
      <c r="T688" s="93"/>
      <c r="U688" s="11"/>
      <c r="V688" s="320">
        <v>0</v>
      </c>
      <c r="W688" s="372" t="str">
        <f>IF(OR(G688="Collectors",G688="Special Pricing",G688="Boutique",G688="leafjoy littles",G688="Premium"),
    IF(V688&gt;0,"Show","Hide"),
    IF(V688 &gt;= _xlfn.XLOOKUP(F688,'Min table'!C$3:C$5,),"Show","Hide")
)</f>
        <v>Hide</v>
      </c>
      <c r="X688" s="317" t="s">
        <v>2351</v>
      </c>
      <c r="Y688" s="317" t="s">
        <v>2351</v>
      </c>
    </row>
    <row r="689" spans="3:25" ht="18.75" hidden="1" x14ac:dyDescent="0.3">
      <c r="C689" s="322"/>
      <c r="D689" s="9"/>
      <c r="E689" s="9"/>
      <c r="F689" s="21" t="s">
        <v>75</v>
      </c>
      <c r="G689" s="20" t="s">
        <v>945</v>
      </c>
      <c r="H689" s="377" t="s">
        <v>1065</v>
      </c>
      <c r="I689" s="377"/>
      <c r="J689" s="377" t="s">
        <v>1066</v>
      </c>
      <c r="K689" s="377"/>
      <c r="L689" s="1"/>
      <c r="M689" s="2"/>
      <c r="N689" s="19">
        <v>8.5</v>
      </c>
      <c r="O689" s="22" t="str">
        <f t="shared" si="26"/>
        <v/>
      </c>
      <c r="P689" s="19" t="s">
        <v>486</v>
      </c>
      <c r="Q689" s="375" t="s">
        <v>224</v>
      </c>
      <c r="R689" s="375"/>
      <c r="S689" s="375"/>
      <c r="T689" s="93"/>
      <c r="U689" s="11"/>
      <c r="V689" s="320">
        <v>9</v>
      </c>
      <c r="W689" s="372" t="str">
        <f>IF(OR(G689="Collectors",G689="Special Pricing",G689="Boutique",G689="leafjoy littles",G689="Premium"),
    IF(V689&gt;0,"Show","Hide"),
    IF(V689 &gt;= _xlfn.XLOOKUP(F689,'Min table'!C$3:C$5,),"Show","Hide")
)</f>
        <v>Show</v>
      </c>
      <c r="X689" s="317" t="s">
        <v>2352</v>
      </c>
      <c r="Y689" s="317" t="s">
        <v>2352</v>
      </c>
    </row>
    <row r="690" spans="3:25" ht="18.75" hidden="1" x14ac:dyDescent="0.3">
      <c r="C690" s="322"/>
      <c r="D690" s="9"/>
      <c r="E690" s="9"/>
      <c r="F690" s="21" t="s">
        <v>75</v>
      </c>
      <c r="G690" s="20" t="s">
        <v>945</v>
      </c>
      <c r="H690" s="377" t="s">
        <v>1067</v>
      </c>
      <c r="I690" s="377"/>
      <c r="J690" s="377" t="s">
        <v>1068</v>
      </c>
      <c r="K690" s="377"/>
      <c r="L690" s="1"/>
      <c r="M690" s="2"/>
      <c r="N690" s="19">
        <v>8.5</v>
      </c>
      <c r="O690" s="22" t="str">
        <f t="shared" si="26"/>
        <v/>
      </c>
      <c r="P690" s="19" t="s">
        <v>389</v>
      </c>
      <c r="Q690" s="375" t="s">
        <v>224</v>
      </c>
      <c r="R690" s="375"/>
      <c r="S690" s="375"/>
      <c r="T690" s="93"/>
      <c r="U690" s="11"/>
      <c r="V690" s="320">
        <v>0</v>
      </c>
      <c r="W690" s="372" t="str">
        <f>IF(OR(G690="Collectors",G690="Special Pricing",G690="Boutique",G690="leafjoy littles",G690="Premium"),
    IF(V690&gt;0,"Show","Hide"),
    IF(V690 &gt;= _xlfn.XLOOKUP(F690,'Min table'!C$3:C$5,),"Show","Hide")
)</f>
        <v>Hide</v>
      </c>
      <c r="X690" s="317" t="s">
        <v>2353</v>
      </c>
      <c r="Y690" s="317" t="s">
        <v>2353</v>
      </c>
    </row>
    <row r="691" spans="3:25" ht="18.75" hidden="1" x14ac:dyDescent="0.3">
      <c r="C691" s="322"/>
      <c r="D691" s="9"/>
      <c r="E691" s="9"/>
      <c r="F691" s="21" t="s">
        <v>75</v>
      </c>
      <c r="G691" s="20" t="s">
        <v>945</v>
      </c>
      <c r="H691" s="377" t="s">
        <v>1069</v>
      </c>
      <c r="I691" s="377"/>
      <c r="J691" s="377" t="s">
        <v>1070</v>
      </c>
      <c r="K691" s="377"/>
      <c r="L691" s="1"/>
      <c r="M691" s="2"/>
      <c r="N691" s="19">
        <v>8.5</v>
      </c>
      <c r="O691" s="22" t="str">
        <f t="shared" si="26"/>
        <v/>
      </c>
      <c r="P691" s="19" t="s">
        <v>389</v>
      </c>
      <c r="Q691" s="375" t="s">
        <v>224</v>
      </c>
      <c r="R691" s="375"/>
      <c r="S691" s="375"/>
      <c r="T691" s="93"/>
      <c r="U691" s="11"/>
      <c r="V691" s="320">
        <v>0</v>
      </c>
      <c r="W691" s="372" t="str">
        <f>IF(OR(G691="Collectors",G691="Special Pricing",G691="Boutique",G691="leafjoy littles",G691="Premium"),
    IF(V691&gt;0,"Show","Hide"),
    IF(V691 &gt;= _xlfn.XLOOKUP(F691,'Min table'!C$3:C$5,),"Show","Hide")
)</f>
        <v>Hide</v>
      </c>
      <c r="X691" s="317" t="s">
        <v>2354</v>
      </c>
      <c r="Y691" s="317" t="s">
        <v>2354</v>
      </c>
    </row>
    <row r="692" spans="3:25" ht="18.75" hidden="1" x14ac:dyDescent="0.3">
      <c r="C692" s="322"/>
      <c r="D692" s="9"/>
      <c r="E692" s="9"/>
      <c r="F692" s="21" t="s">
        <v>75</v>
      </c>
      <c r="G692" s="20" t="s">
        <v>942</v>
      </c>
      <c r="H692" s="377" t="s">
        <v>2576</v>
      </c>
      <c r="I692" s="377"/>
      <c r="J692" s="377" t="s">
        <v>1070</v>
      </c>
      <c r="K692" s="377"/>
      <c r="L692" s="1"/>
      <c r="M692" s="2"/>
      <c r="N692" s="19">
        <v>11.5</v>
      </c>
      <c r="O692" s="22" t="str">
        <f t="shared" ref="O692" si="34">IF(AND(L692="",M692=""),"",(L692*N692)+(M692*(N692+2.25)))</f>
        <v/>
      </c>
      <c r="P692" s="19" t="s">
        <v>1862</v>
      </c>
      <c r="Q692" s="375" t="s">
        <v>242</v>
      </c>
      <c r="R692" s="375"/>
      <c r="S692" s="375"/>
      <c r="T692" s="93"/>
      <c r="U692" s="11"/>
      <c r="V692" s="320">
        <v>0</v>
      </c>
      <c r="W692" s="372" t="str">
        <f>IF(OR(G692="Collectors",G692="Special Pricing",G692="Boutique",G692="leafjoy littles",G692="Premium"),
    IF(V692&gt;0,"Show","Hide"),
    IF(V692 &gt;= _xlfn.XLOOKUP(F692,'Min table'!C$3:C$5,),"Show","Hide")
)</f>
        <v>Hide</v>
      </c>
      <c r="X692" s="317" t="s">
        <v>2621</v>
      </c>
    </row>
    <row r="693" spans="3:25" ht="18.75" hidden="1" x14ac:dyDescent="0.3">
      <c r="C693" s="322"/>
      <c r="D693" s="9"/>
      <c r="E693" s="9"/>
      <c r="F693" s="21" t="s">
        <v>75</v>
      </c>
      <c r="G693" s="20" t="s">
        <v>945</v>
      </c>
      <c r="H693" s="377" t="s">
        <v>1071</v>
      </c>
      <c r="I693" s="377"/>
      <c r="J693" s="377" t="s">
        <v>1072</v>
      </c>
      <c r="K693" s="377"/>
      <c r="L693" s="1"/>
      <c r="M693" s="2"/>
      <c r="N693" s="19">
        <v>8.5</v>
      </c>
      <c r="O693" s="22" t="str">
        <f t="shared" ref="O693:O763" si="35">IF(AND(L693="",M693=""),"",(L693*N693)+(M693*(N693+2.25)))</f>
        <v/>
      </c>
      <c r="P693" s="19" t="s">
        <v>486</v>
      </c>
      <c r="Q693" s="375" t="s">
        <v>224</v>
      </c>
      <c r="R693" s="375"/>
      <c r="S693" s="375"/>
      <c r="T693" s="93"/>
      <c r="U693" s="11"/>
      <c r="V693" s="320">
        <v>9</v>
      </c>
      <c r="W693" s="372" t="str">
        <f>IF(OR(G693="Collectors",G693="Special Pricing",G693="Boutique",G693="leafjoy littles",G693="Premium"),
    IF(V693&gt;0,"Show","Hide"),
    IF(V693 &gt;= _xlfn.XLOOKUP(F693,'Min table'!C$3:C$5,),"Show","Hide")
)</f>
        <v>Show</v>
      </c>
      <c r="X693" s="317" t="s">
        <v>2355</v>
      </c>
      <c r="Y693" s="317" t="s">
        <v>2355</v>
      </c>
    </row>
    <row r="694" spans="3:25" ht="18.75" hidden="1" x14ac:dyDescent="0.3">
      <c r="C694" s="322"/>
      <c r="D694" s="9"/>
      <c r="E694" s="9"/>
      <c r="F694" s="21" t="s">
        <v>75</v>
      </c>
      <c r="G694" s="20" t="s">
        <v>991</v>
      </c>
      <c r="H694" s="377" t="s">
        <v>1743</v>
      </c>
      <c r="I694" s="377"/>
      <c r="J694" s="377"/>
      <c r="K694" s="377"/>
      <c r="L694" s="1"/>
      <c r="M694" s="2"/>
      <c r="N694" s="19">
        <v>20</v>
      </c>
      <c r="O694" s="22" t="str">
        <f t="shared" si="35"/>
        <v/>
      </c>
      <c r="P694" s="19" t="s">
        <v>1862</v>
      </c>
      <c r="Q694" s="375" t="s">
        <v>341</v>
      </c>
      <c r="R694" s="375"/>
      <c r="S694" s="375"/>
      <c r="T694" s="93"/>
      <c r="U694" s="11"/>
      <c r="V694" s="320">
        <v>0</v>
      </c>
      <c r="W694" s="372" t="str">
        <f>IF(OR(G694="Collectors",G694="Special Pricing",G694="Boutique",G694="leafjoy littles",G694="Premium"),
    IF(V694&gt;0,"Show","Hide"),
    IF(V694 &gt;= _xlfn.XLOOKUP(F694,'Min table'!C$3:C$5,),"Show","Hide")
)</f>
        <v>Hide</v>
      </c>
      <c r="X694" s="317" t="s">
        <v>2356</v>
      </c>
      <c r="Y694" s="317" t="s">
        <v>2356</v>
      </c>
    </row>
    <row r="695" spans="3:25" ht="18.75" hidden="1" x14ac:dyDescent="0.3">
      <c r="C695" s="322"/>
      <c r="D695" s="9"/>
      <c r="E695" s="9"/>
      <c r="F695" s="21" t="s">
        <v>75</v>
      </c>
      <c r="G695" s="20" t="s">
        <v>942</v>
      </c>
      <c r="H695" s="414" t="s">
        <v>2777</v>
      </c>
      <c r="I695" s="414"/>
      <c r="J695" s="414"/>
      <c r="K695" s="414"/>
      <c r="L695" s="1"/>
      <c r="M695" s="2"/>
      <c r="N695" s="19">
        <v>11.5</v>
      </c>
      <c r="O695" s="22" t="str">
        <f t="shared" ref="O695" si="36">IF(AND(L695="",M695=""),"",(L695*N695)+(M695*(N695+2.25)))</f>
        <v/>
      </c>
      <c r="P695" s="19" t="s">
        <v>1862</v>
      </c>
      <c r="Q695" s="375" t="s">
        <v>242</v>
      </c>
      <c r="R695" s="375"/>
      <c r="S695" s="375"/>
      <c r="T695" s="93"/>
      <c r="U695" s="11"/>
      <c r="V695" s="320">
        <v>0</v>
      </c>
      <c r="W695" s="372" t="str">
        <f>IF(OR(G695="Collectors",G695="Special Pricing",G695="Boutique",G695="leafjoy littles",G695="Premium"),
    IF(V695&gt;0,"Show","Hide"),
    IF(V695 &gt;= _xlfn.XLOOKUP(F695,'Min table'!C$3:C$5,),"Show","Hide")
)</f>
        <v>Hide</v>
      </c>
    </row>
    <row r="696" spans="3:25" ht="18.75" hidden="1" x14ac:dyDescent="0.3">
      <c r="C696" s="322"/>
      <c r="D696" s="9"/>
      <c r="E696" s="9"/>
      <c r="F696" s="21" t="s">
        <v>75</v>
      </c>
      <c r="G696" s="20" t="s">
        <v>945</v>
      </c>
      <c r="H696" s="377" t="s">
        <v>1712</v>
      </c>
      <c r="I696" s="377"/>
      <c r="J696" s="377"/>
      <c r="K696" s="377"/>
      <c r="L696" s="1"/>
      <c r="M696" s="2"/>
      <c r="N696" s="19">
        <v>8.5</v>
      </c>
      <c r="O696" s="22" t="str">
        <f t="shared" si="35"/>
        <v/>
      </c>
      <c r="P696" s="19" t="s">
        <v>1862</v>
      </c>
      <c r="Q696" s="375" t="s">
        <v>224</v>
      </c>
      <c r="R696" s="375"/>
      <c r="S696" s="375"/>
      <c r="T696" s="93"/>
      <c r="U696" s="11"/>
      <c r="V696" s="320">
        <v>0</v>
      </c>
      <c r="W696" s="372" t="str">
        <f>IF(OR(G696="Collectors",G696="Special Pricing",G696="Boutique",G696="leafjoy littles",G696="Premium"),
    IF(V696&gt;0,"Show","Hide"),
    IF(V696 &gt;= _xlfn.XLOOKUP(F696,'Min table'!C$3:C$5,),"Show","Hide")
)</f>
        <v>Hide</v>
      </c>
      <c r="X696" s="317" t="s">
        <v>2357</v>
      </c>
      <c r="Y696" s="317" t="s">
        <v>2357</v>
      </c>
    </row>
    <row r="697" spans="3:25" ht="18.75" hidden="1" x14ac:dyDescent="0.3">
      <c r="C697" s="322"/>
      <c r="D697" s="9"/>
      <c r="E697" s="9"/>
      <c r="F697" s="21" t="s">
        <v>75</v>
      </c>
      <c r="G697" s="20" t="s">
        <v>945</v>
      </c>
      <c r="H697" s="377" t="s">
        <v>1713</v>
      </c>
      <c r="I697" s="377"/>
      <c r="J697" s="377"/>
      <c r="K697" s="377"/>
      <c r="L697" s="1"/>
      <c r="M697" s="2"/>
      <c r="N697" s="19">
        <v>8.5</v>
      </c>
      <c r="O697" s="22" t="str">
        <f t="shared" si="35"/>
        <v/>
      </c>
      <c r="P697" s="19" t="s">
        <v>1862</v>
      </c>
      <c r="Q697" s="375" t="s">
        <v>224</v>
      </c>
      <c r="R697" s="375"/>
      <c r="S697" s="375"/>
      <c r="T697" s="93"/>
      <c r="U697" s="11"/>
      <c r="V697" s="320">
        <v>11</v>
      </c>
      <c r="W697" s="372" t="str">
        <f>IF(OR(G697="Collectors",G697="Special Pricing",G697="Boutique",G697="leafjoy littles",G697="Premium"),
    IF(V697&gt;0,"Show","Hide"),
    IF(V697 &gt;= _xlfn.XLOOKUP(F697,'Min table'!C$3:C$5,),"Show","Hide")
)</f>
        <v>Show</v>
      </c>
      <c r="X697" s="317" t="s">
        <v>2358</v>
      </c>
      <c r="Y697" s="317" t="s">
        <v>2358</v>
      </c>
    </row>
    <row r="698" spans="3:25" ht="18.75" hidden="1" x14ac:dyDescent="0.3">
      <c r="C698" s="322"/>
      <c r="D698" s="9"/>
      <c r="E698" s="9"/>
      <c r="F698" s="21" t="s">
        <v>75</v>
      </c>
      <c r="G698" s="20" t="s">
        <v>945</v>
      </c>
      <c r="H698" s="377" t="s">
        <v>1073</v>
      </c>
      <c r="I698" s="377"/>
      <c r="J698" s="377" t="s">
        <v>1074</v>
      </c>
      <c r="K698" s="377"/>
      <c r="L698" s="1"/>
      <c r="M698" s="2"/>
      <c r="N698" s="19">
        <v>8.5</v>
      </c>
      <c r="O698" s="22" t="str">
        <f t="shared" si="35"/>
        <v/>
      </c>
      <c r="P698" s="19" t="s">
        <v>1862</v>
      </c>
      <c r="Q698" s="375" t="s">
        <v>224</v>
      </c>
      <c r="R698" s="375"/>
      <c r="S698" s="375"/>
      <c r="T698" s="106"/>
      <c r="U698" s="11"/>
      <c r="V698" s="320">
        <v>6</v>
      </c>
      <c r="W698" s="372" t="str">
        <f>IF(OR(G698="Collectors",G698="Special Pricing",G698="Boutique",G698="leafjoy littles",G698="Premium"),
    IF(V698&gt;0,"Show","Hide"),
    IF(V698 &gt;= _xlfn.XLOOKUP(F698,'Min table'!C$3:C$5,),"Show","Hide")
)</f>
        <v>Show</v>
      </c>
      <c r="X698" s="317" t="s">
        <v>2359</v>
      </c>
      <c r="Y698" s="317" t="s">
        <v>2359</v>
      </c>
    </row>
    <row r="699" spans="3:25" ht="18.75" hidden="1" x14ac:dyDescent="0.3">
      <c r="C699" s="322"/>
      <c r="D699" s="9"/>
      <c r="E699" s="9"/>
      <c r="F699" s="21" t="s">
        <v>75</v>
      </c>
      <c r="G699" s="20" t="s">
        <v>945</v>
      </c>
      <c r="H699" s="377" t="s">
        <v>1825</v>
      </c>
      <c r="I699" s="377"/>
      <c r="J699" s="377"/>
      <c r="K699" s="377"/>
      <c r="L699" s="1"/>
      <c r="M699" s="2"/>
      <c r="N699" s="19">
        <v>8.5</v>
      </c>
      <c r="O699" s="22" t="str">
        <f t="shared" si="35"/>
        <v/>
      </c>
      <c r="P699" s="19" t="s">
        <v>1862</v>
      </c>
      <c r="Q699" s="375" t="s">
        <v>224</v>
      </c>
      <c r="R699" s="375"/>
      <c r="S699" s="375"/>
      <c r="T699" s="93"/>
      <c r="U699" s="11"/>
      <c r="V699" s="320">
        <v>3</v>
      </c>
      <c r="W699" s="372" t="str">
        <f>IF(OR(G699="Collectors",G699="Special Pricing",G699="Boutique",G699="leafjoy littles",G699="Premium"),
    IF(V699&gt;0,"Show","Hide"),
    IF(V699 &gt;= _xlfn.XLOOKUP(F699,'Min table'!C$3:C$5,),"Show","Hide")
)</f>
        <v>Show</v>
      </c>
      <c r="X699" s="317" t="s">
        <v>2360</v>
      </c>
      <c r="Y699" s="317" t="s">
        <v>2360</v>
      </c>
    </row>
    <row r="700" spans="3:25" ht="18.75" hidden="1" x14ac:dyDescent="0.3">
      <c r="C700" s="322"/>
      <c r="D700" s="9"/>
      <c r="E700" s="9"/>
      <c r="F700" s="21" t="s">
        <v>75</v>
      </c>
      <c r="G700" s="20" t="s">
        <v>945</v>
      </c>
      <c r="H700" s="377" t="s">
        <v>1874</v>
      </c>
      <c r="I700" s="377"/>
      <c r="J700" s="377"/>
      <c r="K700" s="377"/>
      <c r="L700" s="1"/>
      <c r="M700" s="2"/>
      <c r="N700" s="19">
        <v>8.5</v>
      </c>
      <c r="O700" s="22" t="str">
        <f t="shared" si="35"/>
        <v/>
      </c>
      <c r="P700" s="19" t="s">
        <v>1862</v>
      </c>
      <c r="Q700" s="375" t="s">
        <v>224</v>
      </c>
      <c r="R700" s="375"/>
      <c r="S700" s="375"/>
      <c r="T700" s="93"/>
      <c r="U700" s="11"/>
      <c r="V700" s="320">
        <v>9</v>
      </c>
      <c r="W700" s="372" t="str">
        <f>IF(OR(G700="Collectors",G700="Special Pricing",G700="Boutique",G700="leafjoy littles",G700="Premium"),
    IF(V700&gt;0,"Show","Hide"),
    IF(V700 &gt;= _xlfn.XLOOKUP(F700,'Min table'!C$3:C$5,),"Show","Hide")
)</f>
        <v>Show</v>
      </c>
      <c r="X700" s="317" t="s">
        <v>2124</v>
      </c>
      <c r="Y700" s="317" t="s">
        <v>2124</v>
      </c>
    </row>
    <row r="701" spans="3:25" ht="18.75" hidden="1" x14ac:dyDescent="0.3">
      <c r="C701" s="322"/>
      <c r="D701" s="9"/>
      <c r="E701" s="9"/>
      <c r="F701" s="21" t="s">
        <v>75</v>
      </c>
      <c r="G701" s="20" t="s">
        <v>945</v>
      </c>
      <c r="H701" s="377" t="s">
        <v>1075</v>
      </c>
      <c r="I701" s="377"/>
      <c r="J701" s="377" t="s">
        <v>1076</v>
      </c>
      <c r="K701" s="377"/>
      <c r="L701" s="1"/>
      <c r="M701" s="2"/>
      <c r="N701" s="19">
        <v>8.5</v>
      </c>
      <c r="O701" s="22" t="str">
        <f t="shared" si="35"/>
        <v/>
      </c>
      <c r="P701" s="19" t="s">
        <v>486</v>
      </c>
      <c r="Q701" s="375" t="s">
        <v>224</v>
      </c>
      <c r="R701" s="375"/>
      <c r="S701" s="375"/>
      <c r="T701" s="93"/>
      <c r="U701" s="11"/>
      <c r="V701" s="320">
        <v>0</v>
      </c>
      <c r="W701" s="372" t="str">
        <f>IF(OR(G701="Collectors",G701="Special Pricing",G701="Boutique",G701="leafjoy littles",G701="Premium"),
    IF(V701&gt;0,"Show","Hide"),
    IF(V701 &gt;= _xlfn.XLOOKUP(F701,'Min table'!C$3:C$5,),"Show","Hide")
)</f>
        <v>Hide</v>
      </c>
      <c r="X701" s="317" t="s">
        <v>2361</v>
      </c>
      <c r="Y701" s="317" t="s">
        <v>2361</v>
      </c>
    </row>
    <row r="702" spans="3:25" ht="18.75" hidden="1" x14ac:dyDescent="0.3">
      <c r="C702" s="322"/>
      <c r="D702" s="9"/>
      <c r="E702" s="9"/>
      <c r="F702" s="21" t="s">
        <v>75</v>
      </c>
      <c r="G702" s="20" t="s">
        <v>945</v>
      </c>
      <c r="H702" s="376" t="s">
        <v>1879</v>
      </c>
      <c r="I702" s="376"/>
      <c r="J702" s="376"/>
      <c r="K702" s="376"/>
      <c r="L702" s="1"/>
      <c r="M702" s="2"/>
      <c r="N702" s="19">
        <v>8.5</v>
      </c>
      <c r="O702" s="22" t="str">
        <f t="shared" si="35"/>
        <v/>
      </c>
      <c r="P702" s="19" t="s">
        <v>506</v>
      </c>
      <c r="Q702" s="375" t="s">
        <v>224</v>
      </c>
      <c r="R702" s="375"/>
      <c r="S702" s="375"/>
      <c r="T702" s="93"/>
      <c r="U702" s="11"/>
      <c r="V702" s="320">
        <v>0</v>
      </c>
      <c r="W702" s="372" t="str">
        <f>IF(OR(G702="Collectors",G702="Special Pricing",G702="Boutique",G702="leafjoy littles",G702="Premium"),
    IF(V702&gt;0,"Show","Hide"),
    IF(V702 &gt;= _xlfn.XLOOKUP(F702,'Min table'!C$3:C$5,),"Show","Hide")
)</f>
        <v>Hide</v>
      </c>
      <c r="X702" s="317" t="s">
        <v>2362</v>
      </c>
      <c r="Y702" s="317" t="s">
        <v>2362</v>
      </c>
    </row>
    <row r="703" spans="3:25" ht="18.75" x14ac:dyDescent="0.3">
      <c r="C703" s="322"/>
      <c r="D703" s="9"/>
      <c r="E703" s="9"/>
      <c r="F703" s="21" t="s">
        <v>75</v>
      </c>
      <c r="G703" s="20" t="s">
        <v>945</v>
      </c>
      <c r="H703" s="399" t="s">
        <v>1878</v>
      </c>
      <c r="I703" s="399"/>
      <c r="J703" s="399"/>
      <c r="K703" s="399"/>
      <c r="L703" s="1"/>
      <c r="M703" s="2"/>
      <c r="N703" s="19">
        <v>8.5</v>
      </c>
      <c r="O703" s="22" t="str">
        <f t="shared" si="35"/>
        <v/>
      </c>
      <c r="P703" s="19" t="s">
        <v>506</v>
      </c>
      <c r="Q703" s="375" t="s">
        <v>224</v>
      </c>
      <c r="R703" s="375"/>
      <c r="S703" s="375"/>
      <c r="T703" s="106"/>
      <c r="U703" s="11"/>
      <c r="V703" s="320">
        <v>59</v>
      </c>
      <c r="W703" s="372" t="str">
        <f>IF(OR(G703="Collectors",G703="Special Pricing",G703="Boutique",G703="leafjoy littles",G703="Premium"),
    IF(V703&gt;0,"Show","Hide"),
    IF(V703 &gt;= _xlfn.XLOOKUP(F703,'Min table'!C$3:C$5,),"Show","Hide")
)</f>
        <v>Show</v>
      </c>
      <c r="X703" s="317" t="s">
        <v>2363</v>
      </c>
      <c r="Y703" s="317" t="s">
        <v>2363</v>
      </c>
    </row>
    <row r="704" spans="3:25" ht="18.75" x14ac:dyDescent="0.3">
      <c r="C704" s="322"/>
      <c r="D704" s="9"/>
      <c r="E704" s="9"/>
      <c r="F704" s="21" t="s">
        <v>75</v>
      </c>
      <c r="G704" s="20" t="s">
        <v>945</v>
      </c>
      <c r="H704" s="377" t="s">
        <v>1877</v>
      </c>
      <c r="I704" s="377"/>
      <c r="J704" s="377"/>
      <c r="K704" s="377"/>
      <c r="L704" s="1"/>
      <c r="M704" s="2"/>
      <c r="N704" s="19">
        <v>8.5</v>
      </c>
      <c r="O704" s="22" t="str">
        <f t="shared" si="35"/>
        <v/>
      </c>
      <c r="P704" s="19" t="s">
        <v>506</v>
      </c>
      <c r="Q704" s="375" t="s">
        <v>224</v>
      </c>
      <c r="R704" s="375"/>
      <c r="S704" s="375"/>
      <c r="T704" s="106"/>
      <c r="U704" s="11"/>
      <c r="V704" s="320">
        <v>71</v>
      </c>
      <c r="W704" s="372" t="str">
        <f>IF(OR(G704="Collectors",G704="Special Pricing",G704="Boutique",G704="leafjoy littles",G704="Premium"),
    IF(V704&gt;0,"Show","Hide"),
    IF(V704 &gt;= _xlfn.XLOOKUP(F704,'Min table'!C$3:C$5,),"Show","Hide")
)</f>
        <v>Show</v>
      </c>
      <c r="X704" s="317" t="s">
        <v>2364</v>
      </c>
      <c r="Y704" s="317" t="s">
        <v>2364</v>
      </c>
    </row>
    <row r="705" spans="3:25" ht="18.75" x14ac:dyDescent="0.3">
      <c r="C705" s="322"/>
      <c r="D705" s="9"/>
      <c r="E705" s="9"/>
      <c r="F705" s="21" t="s">
        <v>75</v>
      </c>
      <c r="G705" s="20" t="s">
        <v>945</v>
      </c>
      <c r="H705" s="377" t="s">
        <v>1876</v>
      </c>
      <c r="I705" s="377"/>
      <c r="J705" s="377"/>
      <c r="K705" s="377"/>
      <c r="L705" s="1"/>
      <c r="M705" s="2"/>
      <c r="N705" s="19">
        <v>8.5</v>
      </c>
      <c r="O705" s="22" t="str">
        <f t="shared" si="35"/>
        <v/>
      </c>
      <c r="P705" s="19" t="s">
        <v>506</v>
      </c>
      <c r="Q705" s="375" t="s">
        <v>224</v>
      </c>
      <c r="R705" s="375"/>
      <c r="S705" s="375"/>
      <c r="T705" s="106"/>
      <c r="U705" s="11"/>
      <c r="V705" s="320">
        <v>117</v>
      </c>
      <c r="W705" s="372" t="str">
        <f>IF(OR(G705="Collectors",G705="Special Pricing",G705="Boutique",G705="leafjoy littles",G705="Premium"),
    IF(V705&gt;0,"Show","Hide"),
    IF(V705 &gt;= _xlfn.XLOOKUP(F705,'Min table'!C$3:C$5,),"Show","Hide")
)</f>
        <v>Show</v>
      </c>
      <c r="X705" s="317" t="s">
        <v>2365</v>
      </c>
      <c r="Y705" s="317" t="s">
        <v>2365</v>
      </c>
    </row>
    <row r="706" spans="3:25" ht="18.75" x14ac:dyDescent="0.3">
      <c r="C706" s="322"/>
      <c r="D706" s="9"/>
      <c r="E706" s="9"/>
      <c r="F706" s="21" t="s">
        <v>75</v>
      </c>
      <c r="G706" s="20" t="s">
        <v>945</v>
      </c>
      <c r="H706" s="376" t="s">
        <v>1875</v>
      </c>
      <c r="I706" s="376"/>
      <c r="J706" s="376"/>
      <c r="K706" s="376"/>
      <c r="L706" s="1"/>
      <c r="M706" s="2"/>
      <c r="N706" s="19">
        <v>8.5</v>
      </c>
      <c r="O706" s="22" t="str">
        <f t="shared" si="35"/>
        <v/>
      </c>
      <c r="P706" s="19" t="s">
        <v>506</v>
      </c>
      <c r="Q706" s="375" t="s">
        <v>224</v>
      </c>
      <c r="R706" s="375"/>
      <c r="S706" s="375"/>
      <c r="T706" s="106"/>
      <c r="U706" s="11"/>
      <c r="V706" s="320">
        <v>32</v>
      </c>
      <c r="W706" s="372" t="str">
        <f>IF(OR(G706="Collectors",G706="Special Pricing",G706="Boutique",G706="leafjoy littles",G706="Premium"),
    IF(V706&gt;0,"Show","Hide"),
    IF(V706 &gt;= _xlfn.XLOOKUP(F706,'Min table'!C$3:C$5,),"Show","Hide")
)</f>
        <v>Show</v>
      </c>
      <c r="X706" s="317" t="s">
        <v>2366</v>
      </c>
      <c r="Y706" s="317" t="s">
        <v>2366</v>
      </c>
    </row>
    <row r="707" spans="3:25" ht="18.75" x14ac:dyDescent="0.3">
      <c r="C707" s="322"/>
      <c r="D707" s="9"/>
      <c r="E707" s="9"/>
      <c r="F707" s="21" t="s">
        <v>75</v>
      </c>
      <c r="G707" s="20" t="s">
        <v>945</v>
      </c>
      <c r="H707" s="376" t="s">
        <v>2560</v>
      </c>
      <c r="I707" s="376"/>
      <c r="J707" s="376"/>
      <c r="K707" s="376"/>
      <c r="L707" s="1"/>
      <c r="M707" s="2"/>
      <c r="N707" s="19">
        <v>8.5</v>
      </c>
      <c r="O707" s="22" t="str">
        <f>IF(AND(L707="",M707=""),"",(L707*N707)+(M707*(N707+2.25)))</f>
        <v/>
      </c>
      <c r="P707" s="19" t="s">
        <v>506</v>
      </c>
      <c r="Q707" s="375" t="s">
        <v>224</v>
      </c>
      <c r="R707" s="375"/>
      <c r="S707" s="375"/>
      <c r="T707" s="93"/>
      <c r="U707" s="11"/>
      <c r="V707" s="320">
        <v>18</v>
      </c>
      <c r="W707" s="372" t="str">
        <f>IF(OR(G707="Collectors",G707="Special Pricing",G707="Boutique",G707="leafjoy littles",G707="Premium"),
    IF(V707&gt;0,"Show","Hide"),
    IF(V707 &gt;= _xlfn.XLOOKUP(F707,'Min table'!C$3:C$5,),"Show","Hide")
)</f>
        <v>Show</v>
      </c>
      <c r="X707" s="317" t="s">
        <v>2622</v>
      </c>
    </row>
    <row r="708" spans="3:25" ht="18.75" hidden="1" x14ac:dyDescent="0.3">
      <c r="C708" s="322"/>
      <c r="D708" s="9"/>
      <c r="E708" s="9"/>
      <c r="F708" s="21" t="s">
        <v>75</v>
      </c>
      <c r="G708" s="20" t="s">
        <v>1853</v>
      </c>
      <c r="H708" s="420" t="s">
        <v>2778</v>
      </c>
      <c r="I708" s="421"/>
      <c r="J708" s="421"/>
      <c r="K708" s="422"/>
      <c r="L708" s="1"/>
      <c r="M708" s="2"/>
      <c r="N708" s="19">
        <v>12</v>
      </c>
      <c r="O708" s="22"/>
      <c r="P708" s="19" t="s">
        <v>2250</v>
      </c>
      <c r="Q708" s="375" t="s">
        <v>242</v>
      </c>
      <c r="R708" s="375"/>
      <c r="S708" s="375"/>
      <c r="T708" s="93"/>
      <c r="U708" s="11"/>
      <c r="V708" s="320">
        <v>1</v>
      </c>
      <c r="W708" s="372" t="e">
        <f>IF(OR(G708="Collectors",G708="Special Pricing",G708="Boutique",G708="leafjoy littles",G708="Premium"),
    IF(V708&gt;0,"Show","Hide"),
    IF(V708 &gt;= _xlfn.XLOOKUP(F708,'Min table'!C$3:C$5,),"Show","Hide")
)</f>
        <v>#VALUE!</v>
      </c>
    </row>
    <row r="709" spans="3:25" ht="18.75" hidden="1" x14ac:dyDescent="0.3">
      <c r="C709" s="322"/>
      <c r="D709" s="9"/>
      <c r="E709" s="9"/>
      <c r="F709" s="21" t="s">
        <v>75</v>
      </c>
      <c r="G709" s="20" t="s">
        <v>1853</v>
      </c>
      <c r="H709" s="420" t="s">
        <v>2779</v>
      </c>
      <c r="I709" s="421"/>
      <c r="J709" s="421"/>
      <c r="K709" s="422"/>
      <c r="L709" s="1"/>
      <c r="M709" s="2"/>
      <c r="N709" s="19">
        <v>12</v>
      </c>
      <c r="O709" s="22"/>
      <c r="P709" s="19" t="s">
        <v>2250</v>
      </c>
      <c r="Q709" s="375" t="s">
        <v>242</v>
      </c>
      <c r="R709" s="375"/>
      <c r="S709" s="375"/>
      <c r="T709" s="93"/>
      <c r="U709" s="11"/>
      <c r="V709" s="320">
        <v>0</v>
      </c>
      <c r="W709" s="372" t="e">
        <f>IF(OR(G709="Collectors",G709="Special Pricing",G709="Boutique",G709="leafjoy littles",G709="Premium"),
    IF(V709&gt;0,"Show","Hide"),
    IF(V709 &gt;= _xlfn.XLOOKUP(F709,'Min table'!C$3:C$5,),"Show","Hide")
)</f>
        <v>#VALUE!</v>
      </c>
    </row>
    <row r="710" spans="3:25" ht="18.75" hidden="1" x14ac:dyDescent="0.3">
      <c r="C710" s="322"/>
      <c r="D710" s="9"/>
      <c r="E710" s="9"/>
      <c r="F710" s="21" t="s">
        <v>75</v>
      </c>
      <c r="G710" s="20" t="s">
        <v>942</v>
      </c>
      <c r="H710" s="377" t="s">
        <v>1077</v>
      </c>
      <c r="I710" s="377"/>
      <c r="J710" s="377" t="s">
        <v>1078</v>
      </c>
      <c r="K710" s="377"/>
      <c r="L710" s="1"/>
      <c r="M710" s="2"/>
      <c r="N710" s="19">
        <v>11.5</v>
      </c>
      <c r="O710" s="22" t="str">
        <f t="shared" si="35"/>
        <v/>
      </c>
      <c r="P710" s="19" t="s">
        <v>1034</v>
      </c>
      <c r="Q710" s="375" t="s">
        <v>242</v>
      </c>
      <c r="R710" s="375"/>
      <c r="S710" s="375"/>
      <c r="T710" s="106"/>
      <c r="U710" s="11"/>
      <c r="V710" s="320">
        <v>4</v>
      </c>
      <c r="W710" s="372" t="str">
        <f>IF(OR(G710="Collectors",G710="Special Pricing",G710="Boutique",G710="leafjoy littles",G710="Premium"),
    IF(V710&gt;0,"Show","Hide"),
    IF(V710 &gt;= _xlfn.XLOOKUP(F710,'Min table'!C$3:C$5,),"Show","Hide")
)</f>
        <v>Show</v>
      </c>
      <c r="X710" s="317" t="s">
        <v>2367</v>
      </c>
      <c r="Y710" s="317" t="s">
        <v>2367</v>
      </c>
    </row>
    <row r="711" spans="3:25" ht="18.75" hidden="1" x14ac:dyDescent="0.3">
      <c r="C711" s="322"/>
      <c r="D711" s="9"/>
      <c r="E711" s="9"/>
      <c r="F711" s="21" t="s">
        <v>75</v>
      </c>
      <c r="G711" s="20" t="s">
        <v>942</v>
      </c>
      <c r="H711" s="377" t="s">
        <v>1079</v>
      </c>
      <c r="I711" s="377"/>
      <c r="J711" s="377" t="s">
        <v>1080</v>
      </c>
      <c r="K711" s="377"/>
      <c r="L711" s="1"/>
      <c r="M711" s="2"/>
      <c r="N711" s="19">
        <v>11.5</v>
      </c>
      <c r="O711" s="22" t="str">
        <f t="shared" si="35"/>
        <v/>
      </c>
      <c r="P711" s="19" t="s">
        <v>1034</v>
      </c>
      <c r="Q711" s="375" t="s">
        <v>242</v>
      </c>
      <c r="R711" s="375"/>
      <c r="S711" s="375"/>
      <c r="T711" s="106"/>
      <c r="U711" s="11"/>
      <c r="V711" s="320">
        <v>9</v>
      </c>
      <c r="W711" s="372" t="str">
        <f>IF(OR(G711="Collectors",G711="Special Pricing",G711="Boutique",G711="leafjoy littles",G711="Premium"),
    IF(V711&gt;0,"Show","Hide"),
    IF(V711 &gt;= _xlfn.XLOOKUP(F711,'Min table'!C$3:C$5,),"Show","Hide")
)</f>
        <v>Show</v>
      </c>
      <c r="X711" s="317" t="s">
        <v>2368</v>
      </c>
      <c r="Y711" s="317" t="s">
        <v>2368</v>
      </c>
    </row>
    <row r="712" spans="3:25" ht="18.75" hidden="1" x14ac:dyDescent="0.3">
      <c r="C712" s="322"/>
      <c r="D712" s="9"/>
      <c r="E712" s="9"/>
      <c r="F712" s="21" t="s">
        <v>75</v>
      </c>
      <c r="G712" s="20" t="s">
        <v>991</v>
      </c>
      <c r="H712" s="377" t="s">
        <v>1826</v>
      </c>
      <c r="I712" s="377"/>
      <c r="J712" s="377"/>
      <c r="K712" s="377"/>
      <c r="L712" s="1"/>
      <c r="M712" s="2"/>
      <c r="N712" s="19">
        <v>20</v>
      </c>
      <c r="O712" s="22" t="str">
        <f t="shared" si="35"/>
        <v/>
      </c>
      <c r="P712" s="19" t="s">
        <v>1862</v>
      </c>
      <c r="Q712" s="375" t="s">
        <v>72</v>
      </c>
      <c r="R712" s="375"/>
      <c r="S712" s="375"/>
      <c r="T712" s="93"/>
      <c r="U712" s="11"/>
      <c r="V712" s="320">
        <v>0</v>
      </c>
      <c r="W712" s="372" t="str">
        <f>IF(OR(G712="Collectors",G712="Special Pricing",G712="Boutique",G712="leafjoy littles",G712="Premium"),
    IF(V712&gt;0,"Show","Hide"),
    IF(V712 &gt;= _xlfn.XLOOKUP(F712,'Min table'!C$3:C$5,),"Show","Hide")
)</f>
        <v>Hide</v>
      </c>
      <c r="X712" s="317" t="s">
        <v>2369</v>
      </c>
      <c r="Y712" s="317" t="s">
        <v>2369</v>
      </c>
    </row>
    <row r="713" spans="3:25" ht="18.75" x14ac:dyDescent="0.3">
      <c r="C713" s="322"/>
      <c r="D713" s="9"/>
      <c r="E713" s="9"/>
      <c r="F713" s="21" t="s">
        <v>75</v>
      </c>
      <c r="G713" s="20" t="s">
        <v>942</v>
      </c>
      <c r="H713" s="377" t="s">
        <v>1081</v>
      </c>
      <c r="I713" s="377"/>
      <c r="J713" s="377" t="s">
        <v>1082</v>
      </c>
      <c r="K713" s="377"/>
      <c r="L713" s="1"/>
      <c r="M713" s="2"/>
      <c r="N713" s="19">
        <v>11.5</v>
      </c>
      <c r="O713" s="22" t="str">
        <f t="shared" si="35"/>
        <v/>
      </c>
      <c r="P713" s="19" t="s">
        <v>1034</v>
      </c>
      <c r="Q713" s="375" t="s">
        <v>242</v>
      </c>
      <c r="R713" s="375"/>
      <c r="S713" s="375"/>
      <c r="T713" s="106"/>
      <c r="U713" s="11"/>
      <c r="V713" s="320">
        <v>67</v>
      </c>
      <c r="W713" s="372" t="str">
        <f>IF(OR(G713="Collectors",G713="Special Pricing",G713="Boutique",G713="leafjoy littles",G713="Premium"),
    IF(V713&gt;0,"Show","Hide"),
    IF(V713 &gt;= _xlfn.XLOOKUP(F713,'Min table'!C$3:C$5,),"Show","Hide")
)</f>
        <v>Show</v>
      </c>
      <c r="X713" s="317" t="s">
        <v>2370</v>
      </c>
      <c r="Y713" s="317" t="s">
        <v>2370</v>
      </c>
    </row>
    <row r="714" spans="3:25" ht="18.75" hidden="1" x14ac:dyDescent="0.3">
      <c r="C714" s="322"/>
      <c r="D714" s="9"/>
      <c r="E714" s="9"/>
      <c r="F714" s="21" t="s">
        <v>75</v>
      </c>
      <c r="G714" s="20" t="s">
        <v>942</v>
      </c>
      <c r="H714" s="377" t="s">
        <v>1083</v>
      </c>
      <c r="I714" s="377"/>
      <c r="J714" s="377" t="s">
        <v>1084</v>
      </c>
      <c r="K714" s="377"/>
      <c r="L714" s="1"/>
      <c r="M714" s="2"/>
      <c r="N714" s="19">
        <v>11.5</v>
      </c>
      <c r="O714" s="22" t="str">
        <f t="shared" si="35"/>
        <v/>
      </c>
      <c r="P714" s="19" t="s">
        <v>1085</v>
      </c>
      <c r="Q714" s="375" t="s">
        <v>242</v>
      </c>
      <c r="R714" s="375"/>
      <c r="S714" s="375"/>
      <c r="T714" s="93"/>
      <c r="U714" s="11"/>
      <c r="V714" s="320">
        <v>-1</v>
      </c>
      <c r="W714" s="372" t="str">
        <f>IF(OR(G714="Collectors",G714="Special Pricing",G714="Boutique",G714="leafjoy littles",G714="Premium"),
    IF(V714&gt;0,"Show","Hide"),
    IF(V714 &gt;= _xlfn.XLOOKUP(F714,'Min table'!C$3:C$5,),"Show","Hide")
)</f>
        <v>Hide</v>
      </c>
      <c r="X714" s="317" t="s">
        <v>2371</v>
      </c>
      <c r="Y714" s="317" t="s">
        <v>2371</v>
      </c>
    </row>
    <row r="715" spans="3:25" ht="18.75" x14ac:dyDescent="0.3">
      <c r="C715" s="322"/>
      <c r="D715" s="9"/>
      <c r="E715" s="9"/>
      <c r="F715" s="21" t="s">
        <v>75</v>
      </c>
      <c r="G715" s="20" t="s">
        <v>945</v>
      </c>
      <c r="H715" s="376" t="s">
        <v>1086</v>
      </c>
      <c r="I715" s="376"/>
      <c r="J715" s="376" t="s">
        <v>1087</v>
      </c>
      <c r="K715" s="376"/>
      <c r="L715" s="1"/>
      <c r="M715" s="2"/>
      <c r="N715" s="19">
        <v>8.5</v>
      </c>
      <c r="O715" s="22" t="str">
        <f t="shared" si="35"/>
        <v/>
      </c>
      <c r="P715" s="19" t="s">
        <v>1088</v>
      </c>
      <c r="Q715" s="375" t="s">
        <v>224</v>
      </c>
      <c r="R715" s="375"/>
      <c r="S715" s="375"/>
      <c r="T715" s="93"/>
      <c r="U715" s="11"/>
      <c r="V715" s="320">
        <v>35</v>
      </c>
      <c r="W715" s="372" t="str">
        <f>IF(OR(G715="Collectors",G715="Special Pricing",G715="Boutique",G715="leafjoy littles",G715="Premium"),
    IF(V715&gt;0,"Show","Hide"),
    IF(V715 &gt;= _xlfn.XLOOKUP(F715,'Min table'!C$3:C$5,),"Show","Hide")
)</f>
        <v>Show</v>
      </c>
      <c r="X715" s="317" t="s">
        <v>2372</v>
      </c>
      <c r="Y715" s="317" t="s">
        <v>2372</v>
      </c>
    </row>
    <row r="716" spans="3:25" ht="31.5" hidden="1" customHeight="1" x14ac:dyDescent="0.3">
      <c r="C716" s="322"/>
      <c r="D716" s="9"/>
      <c r="E716" s="9"/>
      <c r="F716" s="21" t="s">
        <v>75</v>
      </c>
      <c r="G716" s="20" t="s">
        <v>1853</v>
      </c>
      <c r="H716" s="377" t="s">
        <v>2262</v>
      </c>
      <c r="I716" s="377" t="s">
        <v>2261</v>
      </c>
      <c r="J716" s="377"/>
      <c r="K716" s="377"/>
      <c r="L716" s="1"/>
      <c r="M716" s="2"/>
      <c r="N716" s="19">
        <v>12</v>
      </c>
      <c r="O716" s="22" t="str">
        <f t="shared" si="35"/>
        <v/>
      </c>
      <c r="P716" s="19" t="s">
        <v>2260</v>
      </c>
      <c r="Q716" s="378" t="s">
        <v>242</v>
      </c>
      <c r="R716" s="379"/>
      <c r="S716" s="379"/>
      <c r="T716" s="94"/>
      <c r="U716" s="11"/>
      <c r="V716" s="320">
        <v>0</v>
      </c>
      <c r="W716" s="372" t="e">
        <f>IF(OR(G716="Collectors",G716="Special Pricing",G716="Boutique",G716="leafjoy littles",G716="Premium"),
    IF(V716&gt;0,"Show","Hide"),
    IF(V716 &gt;= _xlfn.XLOOKUP(F716,'Min table'!C$3:C$5,),"Show","Hide")
)</f>
        <v>#VALUE!</v>
      </c>
      <c r="X716" s="317" t="s">
        <v>2373</v>
      </c>
      <c r="Y716" s="317" t="s">
        <v>2373</v>
      </c>
    </row>
    <row r="717" spans="3:25" ht="18.75" hidden="1" x14ac:dyDescent="0.3">
      <c r="C717" s="322"/>
      <c r="D717" s="9"/>
      <c r="E717" s="9"/>
      <c r="F717" s="21" t="s">
        <v>75</v>
      </c>
      <c r="G717" s="20" t="s">
        <v>945</v>
      </c>
      <c r="H717" s="377" t="s">
        <v>1827</v>
      </c>
      <c r="I717" s="377"/>
      <c r="J717" s="377"/>
      <c r="K717" s="377"/>
      <c r="L717" s="1"/>
      <c r="M717" s="2"/>
      <c r="N717" s="19">
        <v>8.5</v>
      </c>
      <c r="O717" s="22" t="str">
        <f t="shared" si="35"/>
        <v/>
      </c>
      <c r="P717" s="19" t="s">
        <v>1863</v>
      </c>
      <c r="Q717" s="375" t="s">
        <v>224</v>
      </c>
      <c r="R717" s="375"/>
      <c r="S717" s="375"/>
      <c r="T717" s="93"/>
      <c r="U717" s="11"/>
      <c r="V717" s="320">
        <v>0</v>
      </c>
      <c r="W717" s="372" t="str">
        <f>IF(OR(G717="Collectors",G717="Special Pricing",G717="Boutique",G717="leafjoy littles",G717="Premium"),
    IF(V717&gt;0,"Show","Hide"),
    IF(V717 &gt;= _xlfn.XLOOKUP(F717,'Min table'!C$3:C$5,),"Show","Hide")
)</f>
        <v>Hide</v>
      </c>
      <c r="X717" s="317" t="s">
        <v>2374</v>
      </c>
      <c r="Y717" s="317" t="s">
        <v>2374</v>
      </c>
    </row>
    <row r="718" spans="3:25" ht="18.75" hidden="1" x14ac:dyDescent="0.3">
      <c r="C718" s="322"/>
      <c r="D718" s="9"/>
      <c r="E718" s="9"/>
      <c r="F718" s="21" t="s">
        <v>75</v>
      </c>
      <c r="G718" s="20" t="s">
        <v>1853</v>
      </c>
      <c r="H718" s="377" t="s">
        <v>2263</v>
      </c>
      <c r="I718" s="377"/>
      <c r="J718" s="377"/>
      <c r="K718" s="377"/>
      <c r="L718" s="1"/>
      <c r="M718" s="2"/>
      <c r="N718" s="19">
        <v>12</v>
      </c>
      <c r="O718" s="22" t="str">
        <f t="shared" si="35"/>
        <v/>
      </c>
      <c r="P718" s="19" t="s">
        <v>2260</v>
      </c>
      <c r="Q718" s="378" t="s">
        <v>242</v>
      </c>
      <c r="R718" s="379"/>
      <c r="S718" s="379"/>
      <c r="T718" s="94"/>
      <c r="U718" s="11"/>
      <c r="V718" s="320">
        <v>0</v>
      </c>
      <c r="W718" s="372" t="e">
        <f>IF(OR(G718="Collectors",G718="Special Pricing",G718="Boutique",G718="leafjoy littles",G718="Premium"),
    IF(V718&gt;0,"Show","Hide"),
    IF(V718 &gt;= _xlfn.XLOOKUP(F718,'Min table'!C$3:C$5,),"Show","Hide")
)</f>
        <v>#VALUE!</v>
      </c>
      <c r="X718" s="317" t="s">
        <v>2375</v>
      </c>
      <c r="Y718" s="317" t="s">
        <v>2375</v>
      </c>
    </row>
    <row r="719" spans="3:25" ht="18.75" hidden="1" x14ac:dyDescent="0.3">
      <c r="C719" s="322"/>
      <c r="D719" s="9"/>
      <c r="E719" s="9"/>
      <c r="F719" s="21" t="s">
        <v>75</v>
      </c>
      <c r="G719" s="20" t="s">
        <v>945</v>
      </c>
      <c r="H719" s="377" t="s">
        <v>720</v>
      </c>
      <c r="I719" s="377"/>
      <c r="J719" s="377" t="s">
        <v>1089</v>
      </c>
      <c r="K719" s="377"/>
      <c r="L719" s="1"/>
      <c r="M719" s="2"/>
      <c r="N719" s="19">
        <v>8.5</v>
      </c>
      <c r="O719" s="22" t="str">
        <f t="shared" si="35"/>
        <v/>
      </c>
      <c r="P719" s="19" t="s">
        <v>1863</v>
      </c>
      <c r="Q719" s="375" t="s">
        <v>224</v>
      </c>
      <c r="R719" s="375"/>
      <c r="S719" s="375"/>
      <c r="T719" s="93"/>
      <c r="U719" s="11"/>
      <c r="V719" s="320">
        <v>1</v>
      </c>
      <c r="W719" s="372" t="str">
        <f>IF(OR(G719="Collectors",G719="Special Pricing",G719="Boutique",G719="leafjoy littles",G719="Premium"),
    IF(V719&gt;0,"Show","Hide"),
    IF(V719 &gt;= _xlfn.XLOOKUP(F719,'Min table'!C$3:C$5,),"Show","Hide")
)</f>
        <v>Show</v>
      </c>
      <c r="X719" s="317" t="s">
        <v>2125</v>
      </c>
      <c r="Y719" s="317" t="s">
        <v>2125</v>
      </c>
    </row>
    <row r="720" spans="3:25" ht="18.75" hidden="1" x14ac:dyDescent="0.3">
      <c r="C720" s="322"/>
      <c r="D720" s="9"/>
      <c r="E720" s="9"/>
      <c r="F720" s="21" t="s">
        <v>75</v>
      </c>
      <c r="G720" s="20" t="s">
        <v>1853</v>
      </c>
      <c r="H720" s="377" t="s">
        <v>2264</v>
      </c>
      <c r="I720" s="377"/>
      <c r="J720" s="377"/>
      <c r="K720" s="377"/>
      <c r="L720" s="1"/>
      <c r="M720" s="2"/>
      <c r="N720" s="19">
        <v>12</v>
      </c>
      <c r="O720" s="22" t="str">
        <f t="shared" si="35"/>
        <v/>
      </c>
      <c r="P720" s="19" t="s">
        <v>2260</v>
      </c>
      <c r="Q720" s="378" t="s">
        <v>242</v>
      </c>
      <c r="R720" s="379"/>
      <c r="S720" s="379"/>
      <c r="T720" s="94"/>
      <c r="U720" s="11"/>
      <c r="V720" s="320">
        <v>1</v>
      </c>
      <c r="W720" s="372" t="e">
        <f>IF(OR(G720="Collectors",G720="Special Pricing",G720="Boutique",G720="leafjoy littles",G720="Premium"),
    IF(V720&gt;0,"Show","Hide"),
    IF(V720 &gt;= _xlfn.XLOOKUP(F720,'Min table'!C$3:C$5,),"Show","Hide")
)</f>
        <v>#VALUE!</v>
      </c>
      <c r="X720" s="317" t="s">
        <v>2376</v>
      </c>
      <c r="Y720" s="317" t="s">
        <v>2376</v>
      </c>
    </row>
    <row r="721" spans="3:25" ht="18.75" hidden="1" x14ac:dyDescent="0.3">
      <c r="C721" s="322"/>
      <c r="D721" s="9"/>
      <c r="E721" s="9"/>
      <c r="F721" s="21" t="s">
        <v>75</v>
      </c>
      <c r="G721" s="20" t="s">
        <v>945</v>
      </c>
      <c r="H721" s="377" t="s">
        <v>722</v>
      </c>
      <c r="I721" s="377"/>
      <c r="J721" s="377" t="s">
        <v>1090</v>
      </c>
      <c r="K721" s="377"/>
      <c r="L721" s="1"/>
      <c r="M721" s="2"/>
      <c r="N721" s="19">
        <v>8.5</v>
      </c>
      <c r="O721" s="22" t="str">
        <f t="shared" si="35"/>
        <v/>
      </c>
      <c r="P721" s="19" t="s">
        <v>1863</v>
      </c>
      <c r="Q721" s="375" t="s">
        <v>224</v>
      </c>
      <c r="R721" s="375"/>
      <c r="S721" s="375"/>
      <c r="T721" s="93"/>
      <c r="U721" s="11"/>
      <c r="V721" s="320">
        <v>7</v>
      </c>
      <c r="W721" s="372" t="str">
        <f>IF(OR(G721="Collectors",G721="Special Pricing",G721="Boutique",G721="leafjoy littles",G721="Premium"),
    IF(V721&gt;0,"Show","Hide"),
    IF(V721 &gt;= _xlfn.XLOOKUP(F721,'Min table'!C$3:C$5,),"Show","Hide")
)</f>
        <v>Show</v>
      </c>
      <c r="X721" s="317" t="s">
        <v>2126</v>
      </c>
      <c r="Y721" s="317" t="s">
        <v>2126</v>
      </c>
    </row>
    <row r="722" spans="3:25" ht="18.75" hidden="1" x14ac:dyDescent="0.3">
      <c r="C722" s="322"/>
      <c r="D722" s="9"/>
      <c r="E722" s="9"/>
      <c r="F722" s="21" t="s">
        <v>75</v>
      </c>
      <c r="G722" s="20" t="s">
        <v>1853</v>
      </c>
      <c r="H722" s="377" t="s">
        <v>2267</v>
      </c>
      <c r="I722" s="377"/>
      <c r="J722" s="377"/>
      <c r="K722" s="377"/>
      <c r="L722" s="1"/>
      <c r="M722" s="2"/>
      <c r="N722" s="19">
        <v>12</v>
      </c>
      <c r="O722" s="22" t="str">
        <f t="shared" si="35"/>
        <v/>
      </c>
      <c r="P722" s="19" t="s">
        <v>2260</v>
      </c>
      <c r="Q722" s="378" t="s">
        <v>242</v>
      </c>
      <c r="R722" s="379"/>
      <c r="S722" s="379"/>
      <c r="T722" s="94"/>
      <c r="U722" s="11"/>
      <c r="V722" s="320">
        <v>1</v>
      </c>
      <c r="W722" s="372" t="e">
        <f>IF(OR(G722="Collectors",G722="Special Pricing",G722="Boutique",G722="leafjoy littles",G722="Premium"),
    IF(V722&gt;0,"Show","Hide"),
    IF(V722 &gt;= _xlfn.XLOOKUP(F722,'Min table'!C$3:C$5,),"Show","Hide")
)</f>
        <v>#VALUE!</v>
      </c>
      <c r="X722" s="317" t="s">
        <v>2377</v>
      </c>
      <c r="Y722" s="317" t="s">
        <v>2377</v>
      </c>
    </row>
    <row r="723" spans="3:25" ht="18.75" x14ac:dyDescent="0.3">
      <c r="C723" s="322"/>
      <c r="D723" s="9"/>
      <c r="E723" s="9"/>
      <c r="F723" s="21" t="s">
        <v>75</v>
      </c>
      <c r="G723" s="20" t="s">
        <v>945</v>
      </c>
      <c r="H723" s="376" t="s">
        <v>724</v>
      </c>
      <c r="I723" s="376"/>
      <c r="J723" s="376" t="s">
        <v>1091</v>
      </c>
      <c r="K723" s="376"/>
      <c r="L723" s="1"/>
      <c r="M723" s="2"/>
      <c r="N723" s="19">
        <v>8.5</v>
      </c>
      <c r="O723" s="22" t="str">
        <f t="shared" si="35"/>
        <v/>
      </c>
      <c r="P723" s="19" t="s">
        <v>1863</v>
      </c>
      <c r="Q723" s="375" t="s">
        <v>224</v>
      </c>
      <c r="R723" s="375"/>
      <c r="S723" s="375"/>
      <c r="T723" s="93"/>
      <c r="U723" s="11"/>
      <c r="V723" s="320">
        <v>43</v>
      </c>
      <c r="W723" s="372" t="str">
        <f>IF(OR(G723="Collectors",G723="Special Pricing",G723="Boutique",G723="leafjoy littles",G723="Premium"),
    IF(V723&gt;0,"Show","Hide"),
    IF(V723 &gt;= _xlfn.XLOOKUP(F723,'Min table'!C$3:C$5,),"Show","Hide")
)</f>
        <v>Show</v>
      </c>
      <c r="X723" s="317" t="s">
        <v>2127</v>
      </c>
      <c r="Y723" s="317" t="s">
        <v>2127</v>
      </c>
    </row>
    <row r="724" spans="3:25" ht="18.75" hidden="1" x14ac:dyDescent="0.3">
      <c r="C724" s="322"/>
      <c r="D724" s="9"/>
      <c r="E724" s="9"/>
      <c r="F724" s="21" t="s">
        <v>75</v>
      </c>
      <c r="G724" s="20" t="s">
        <v>1853</v>
      </c>
      <c r="H724" s="377" t="s">
        <v>2266</v>
      </c>
      <c r="I724" s="377"/>
      <c r="J724" s="377"/>
      <c r="K724" s="377"/>
      <c r="L724" s="1"/>
      <c r="M724" s="2"/>
      <c r="N724" s="19">
        <v>12</v>
      </c>
      <c r="O724" s="22" t="str">
        <f t="shared" si="35"/>
        <v/>
      </c>
      <c r="P724" s="19" t="s">
        <v>2260</v>
      </c>
      <c r="Q724" s="378" t="s">
        <v>242</v>
      </c>
      <c r="R724" s="379"/>
      <c r="S724" s="379"/>
      <c r="T724" s="94"/>
      <c r="U724" s="11"/>
      <c r="V724" s="320">
        <v>0</v>
      </c>
      <c r="W724" s="372" t="e">
        <f>IF(OR(G724="Collectors",G724="Special Pricing",G724="Boutique",G724="leafjoy littles",G724="Premium"),
    IF(V724&gt;0,"Show","Hide"),
    IF(V724 &gt;= _xlfn.XLOOKUP(F724,'Min table'!C$3:C$5,),"Show","Hide")
)</f>
        <v>#VALUE!</v>
      </c>
      <c r="X724" s="317" t="s">
        <v>2378</v>
      </c>
      <c r="Y724" s="317" t="s">
        <v>2378</v>
      </c>
    </row>
    <row r="725" spans="3:25" ht="18.75" hidden="1" x14ac:dyDescent="0.3">
      <c r="C725" s="322"/>
      <c r="D725" s="9"/>
      <c r="E725" s="9"/>
      <c r="F725" s="21" t="s">
        <v>75</v>
      </c>
      <c r="G725" s="20" t="s">
        <v>945</v>
      </c>
      <c r="H725" s="377" t="s">
        <v>1092</v>
      </c>
      <c r="I725" s="377"/>
      <c r="J725" s="377" t="s">
        <v>1093</v>
      </c>
      <c r="K725" s="377"/>
      <c r="L725" s="1"/>
      <c r="M725" s="2"/>
      <c r="N725" s="19">
        <v>8.5</v>
      </c>
      <c r="O725" s="22" t="str">
        <f t="shared" si="35"/>
        <v/>
      </c>
      <c r="P725" s="19" t="s">
        <v>1863</v>
      </c>
      <c r="Q725" s="375" t="s">
        <v>224</v>
      </c>
      <c r="R725" s="375"/>
      <c r="S725" s="375"/>
      <c r="T725" s="93"/>
      <c r="U725" s="11"/>
      <c r="V725" s="320">
        <v>5</v>
      </c>
      <c r="W725" s="372" t="str">
        <f>IF(OR(G725="Collectors",G725="Special Pricing",G725="Boutique",G725="leafjoy littles",G725="Premium"),
    IF(V725&gt;0,"Show","Hide"),
    IF(V725 &gt;= _xlfn.XLOOKUP(F725,'Min table'!C$3:C$5,),"Show","Hide")
)</f>
        <v>Show</v>
      </c>
      <c r="X725" s="317" t="s">
        <v>2379</v>
      </c>
      <c r="Y725" s="317" t="s">
        <v>2379</v>
      </c>
    </row>
    <row r="726" spans="3:25" ht="18.75" hidden="1" x14ac:dyDescent="0.3">
      <c r="C726" s="322"/>
      <c r="D726" s="9"/>
      <c r="E726" s="9"/>
      <c r="F726" s="21" t="s">
        <v>75</v>
      </c>
      <c r="G726" s="20" t="s">
        <v>1853</v>
      </c>
      <c r="H726" s="377" t="s">
        <v>2265</v>
      </c>
      <c r="I726" s="377"/>
      <c r="J726" s="377"/>
      <c r="K726" s="377"/>
      <c r="L726" s="1"/>
      <c r="M726" s="2"/>
      <c r="N726" s="19">
        <v>12</v>
      </c>
      <c r="O726" s="22" t="str">
        <f t="shared" si="35"/>
        <v/>
      </c>
      <c r="P726" s="19" t="s">
        <v>2260</v>
      </c>
      <c r="Q726" s="378" t="s">
        <v>242</v>
      </c>
      <c r="R726" s="379"/>
      <c r="S726" s="379"/>
      <c r="T726" s="94"/>
      <c r="U726" s="11"/>
      <c r="V726" s="320">
        <v>0</v>
      </c>
      <c r="W726" s="372" t="e">
        <f>IF(OR(G726="Collectors",G726="Special Pricing",G726="Boutique",G726="leafjoy littles",G726="Premium"),
    IF(V726&gt;0,"Show","Hide"),
    IF(V726 &gt;= _xlfn.XLOOKUP(F726,'Min table'!C$3:C$5,),"Show","Hide")
)</f>
        <v>#VALUE!</v>
      </c>
      <c r="X726" s="317" t="s">
        <v>2380</v>
      </c>
      <c r="Y726" s="317" t="s">
        <v>2380</v>
      </c>
    </row>
    <row r="727" spans="3:25" ht="18.75" hidden="1" x14ac:dyDescent="0.3">
      <c r="C727" s="322"/>
      <c r="D727" s="9"/>
      <c r="E727" s="9"/>
      <c r="F727" s="21" t="s">
        <v>75</v>
      </c>
      <c r="G727" s="20" t="s">
        <v>945</v>
      </c>
      <c r="H727" s="377" t="s">
        <v>726</v>
      </c>
      <c r="I727" s="377"/>
      <c r="J727" s="377" t="s">
        <v>1094</v>
      </c>
      <c r="K727" s="377"/>
      <c r="L727" s="1"/>
      <c r="M727" s="2"/>
      <c r="N727" s="19">
        <v>8.5</v>
      </c>
      <c r="O727" s="22" t="str">
        <f t="shared" si="35"/>
        <v/>
      </c>
      <c r="P727" s="19" t="s">
        <v>1863</v>
      </c>
      <c r="Q727" s="375" t="s">
        <v>224</v>
      </c>
      <c r="R727" s="375"/>
      <c r="S727" s="375"/>
      <c r="T727" s="93"/>
      <c r="U727" s="11"/>
      <c r="V727" s="320">
        <v>2</v>
      </c>
      <c r="W727" s="372" t="str">
        <f>IF(OR(G727="Collectors",G727="Special Pricing",G727="Boutique",G727="leafjoy littles",G727="Premium"),
    IF(V727&gt;0,"Show","Hide"),
    IF(V727 &gt;= _xlfn.XLOOKUP(F727,'Min table'!C$3:C$5,),"Show","Hide")
)</f>
        <v>Show</v>
      </c>
      <c r="X727" s="317" t="s">
        <v>2381</v>
      </c>
      <c r="Y727" s="317" t="s">
        <v>2381</v>
      </c>
    </row>
    <row r="728" spans="3:25" ht="18.75" hidden="1" x14ac:dyDescent="0.3">
      <c r="C728" s="322"/>
      <c r="D728" s="9"/>
      <c r="E728" s="9"/>
      <c r="F728" s="21" t="s">
        <v>75</v>
      </c>
      <c r="G728" s="20" t="s">
        <v>1853</v>
      </c>
      <c r="H728" s="377" t="s">
        <v>2268</v>
      </c>
      <c r="I728" s="377"/>
      <c r="J728" s="377"/>
      <c r="K728" s="377"/>
      <c r="L728" s="1"/>
      <c r="M728" s="2"/>
      <c r="N728" s="19">
        <v>12</v>
      </c>
      <c r="O728" s="22" t="str">
        <f t="shared" si="35"/>
        <v/>
      </c>
      <c r="P728" s="19" t="s">
        <v>2260</v>
      </c>
      <c r="Q728" s="378" t="s">
        <v>242</v>
      </c>
      <c r="R728" s="379"/>
      <c r="S728" s="379"/>
      <c r="T728" s="94"/>
      <c r="U728" s="11"/>
      <c r="V728" s="320">
        <v>1</v>
      </c>
      <c r="W728" s="372" t="e">
        <f>IF(OR(G728="Collectors",G728="Special Pricing",G728="Boutique",G728="leafjoy littles",G728="Premium"),
    IF(V728&gt;0,"Show","Hide"),
    IF(V728 &gt;= _xlfn.XLOOKUP(F728,'Min table'!C$3:C$5,),"Show","Hide")
)</f>
        <v>#VALUE!</v>
      </c>
      <c r="X728" s="317" t="s">
        <v>2382</v>
      </c>
      <c r="Y728" s="317" t="s">
        <v>2382</v>
      </c>
    </row>
    <row r="729" spans="3:25" ht="18.75" x14ac:dyDescent="0.3">
      <c r="C729" s="322"/>
      <c r="D729" s="9"/>
      <c r="E729" s="9"/>
      <c r="F729" s="21" t="s">
        <v>75</v>
      </c>
      <c r="G729" s="20" t="s">
        <v>945</v>
      </c>
      <c r="H729" s="376" t="s">
        <v>1095</v>
      </c>
      <c r="I729" s="376"/>
      <c r="J729" s="376" t="s">
        <v>1096</v>
      </c>
      <c r="K729" s="376"/>
      <c r="L729" s="1"/>
      <c r="M729" s="2"/>
      <c r="N729" s="19">
        <v>8.5</v>
      </c>
      <c r="O729" s="22" t="str">
        <f t="shared" si="35"/>
        <v/>
      </c>
      <c r="P729" s="19" t="s">
        <v>1863</v>
      </c>
      <c r="Q729" s="375" t="s">
        <v>224</v>
      </c>
      <c r="R729" s="375"/>
      <c r="S729" s="375"/>
      <c r="T729" s="93"/>
      <c r="U729" s="11"/>
      <c r="V729" s="320">
        <v>34</v>
      </c>
      <c r="W729" s="372" t="str">
        <f>IF(OR(G729="Collectors",G729="Special Pricing",G729="Boutique",G729="leafjoy littles",G729="Premium"),
    IF(V729&gt;0,"Show","Hide"),
    IF(V729 &gt;= _xlfn.XLOOKUP(F729,'Min table'!C$3:C$5,),"Show","Hide")
)</f>
        <v>Show</v>
      </c>
      <c r="X729" s="317" t="s">
        <v>2383</v>
      </c>
      <c r="Y729" s="317" t="s">
        <v>2383</v>
      </c>
    </row>
    <row r="730" spans="3:25" ht="18.75" hidden="1" x14ac:dyDescent="0.3">
      <c r="C730" s="322"/>
      <c r="D730" s="9"/>
      <c r="E730" s="9"/>
      <c r="F730" s="21" t="s">
        <v>75</v>
      </c>
      <c r="G730" s="20" t="s">
        <v>1853</v>
      </c>
      <c r="H730" s="377" t="s">
        <v>2269</v>
      </c>
      <c r="I730" s="377"/>
      <c r="J730" s="377"/>
      <c r="K730" s="377"/>
      <c r="L730" s="1"/>
      <c r="M730" s="2"/>
      <c r="N730" s="19">
        <v>12</v>
      </c>
      <c r="O730" s="22" t="str">
        <f t="shared" si="35"/>
        <v/>
      </c>
      <c r="P730" s="19" t="s">
        <v>2260</v>
      </c>
      <c r="Q730" s="378" t="s">
        <v>242</v>
      </c>
      <c r="R730" s="379"/>
      <c r="S730" s="379"/>
      <c r="T730" s="94"/>
      <c r="U730" s="11"/>
      <c r="V730" s="320">
        <v>0</v>
      </c>
      <c r="W730" s="372" t="e">
        <f>IF(OR(G730="Collectors",G730="Special Pricing",G730="Boutique",G730="leafjoy littles",G730="Premium"),
    IF(V730&gt;0,"Show","Hide"),
    IF(V730 &gt;= _xlfn.XLOOKUP(F730,'Min table'!C$3:C$5,),"Show","Hide")
)</f>
        <v>#VALUE!</v>
      </c>
      <c r="X730" s="317" t="s">
        <v>2384</v>
      </c>
      <c r="Y730" s="317" t="s">
        <v>2384</v>
      </c>
    </row>
    <row r="731" spans="3:25" ht="18.75" hidden="1" x14ac:dyDescent="0.3">
      <c r="C731" s="322"/>
      <c r="D731" s="9"/>
      <c r="E731" s="9"/>
      <c r="F731" s="21" t="s">
        <v>75</v>
      </c>
      <c r="G731" s="20" t="s">
        <v>945</v>
      </c>
      <c r="H731" s="377" t="s">
        <v>1744</v>
      </c>
      <c r="I731" s="377"/>
      <c r="J731" s="377"/>
      <c r="K731" s="377"/>
      <c r="L731" s="1"/>
      <c r="M731" s="2"/>
      <c r="N731" s="19">
        <v>8.5</v>
      </c>
      <c r="O731" s="22" t="str">
        <f t="shared" si="35"/>
        <v/>
      </c>
      <c r="P731" s="19" t="s">
        <v>1862</v>
      </c>
      <c r="Q731" s="375" t="s">
        <v>224</v>
      </c>
      <c r="R731" s="375"/>
      <c r="S731" s="375"/>
      <c r="T731" s="93"/>
      <c r="U731" s="11"/>
      <c r="V731" s="320">
        <v>1</v>
      </c>
      <c r="W731" s="372" t="str">
        <f>IF(OR(G731="Collectors",G731="Special Pricing",G731="Boutique",G731="leafjoy littles",G731="Premium"),
    IF(V731&gt;0,"Show","Hide"),
    IF(V731 &gt;= _xlfn.XLOOKUP(F731,'Min table'!C$3:C$5,),"Show","Hide")
)</f>
        <v>Show</v>
      </c>
      <c r="X731" s="317" t="s">
        <v>2385</v>
      </c>
      <c r="Y731" s="317" t="s">
        <v>2385</v>
      </c>
    </row>
    <row r="732" spans="3:25" ht="18.75" x14ac:dyDescent="0.3">
      <c r="C732" s="322"/>
      <c r="D732" s="9"/>
      <c r="E732" s="9"/>
      <c r="F732" s="21" t="s">
        <v>75</v>
      </c>
      <c r="G732" s="20" t="s">
        <v>945</v>
      </c>
      <c r="H732" s="376" t="s">
        <v>728</v>
      </c>
      <c r="I732" s="376"/>
      <c r="J732" s="376" t="s">
        <v>1097</v>
      </c>
      <c r="K732" s="376"/>
      <c r="L732" s="1"/>
      <c r="M732" s="2"/>
      <c r="N732" s="19">
        <v>8.5</v>
      </c>
      <c r="O732" s="22" t="str">
        <f t="shared" si="35"/>
        <v/>
      </c>
      <c r="P732" s="19" t="s">
        <v>1863</v>
      </c>
      <c r="Q732" s="375" t="s">
        <v>224</v>
      </c>
      <c r="R732" s="375"/>
      <c r="S732" s="375"/>
      <c r="T732" s="93"/>
      <c r="U732" s="11"/>
      <c r="V732" s="320">
        <v>41</v>
      </c>
      <c r="W732" s="372" t="str">
        <f>IF(OR(G732="Collectors",G732="Special Pricing",G732="Boutique",G732="leafjoy littles",G732="Premium"),
    IF(V732&gt;0,"Show","Hide"),
    IF(V732 &gt;= _xlfn.XLOOKUP(F732,'Min table'!C$3:C$5,),"Show","Hide")
)</f>
        <v>Show</v>
      </c>
      <c r="X732" s="317" t="s">
        <v>2386</v>
      </c>
      <c r="Y732" s="317" t="s">
        <v>2386</v>
      </c>
    </row>
    <row r="733" spans="3:25" ht="18.75" hidden="1" x14ac:dyDescent="0.3">
      <c r="C733" s="322"/>
      <c r="D733" s="9"/>
      <c r="E733" s="9"/>
      <c r="F733" s="21" t="s">
        <v>75</v>
      </c>
      <c r="G733" s="20" t="s">
        <v>1853</v>
      </c>
      <c r="H733" s="377" t="s">
        <v>2270</v>
      </c>
      <c r="I733" s="377"/>
      <c r="J733" s="377"/>
      <c r="K733" s="377"/>
      <c r="L733" s="1"/>
      <c r="M733" s="2"/>
      <c r="N733" s="19">
        <v>12</v>
      </c>
      <c r="O733" s="22" t="str">
        <f t="shared" si="35"/>
        <v/>
      </c>
      <c r="P733" s="19" t="s">
        <v>2260</v>
      </c>
      <c r="Q733" s="378" t="s">
        <v>242</v>
      </c>
      <c r="R733" s="379"/>
      <c r="S733" s="379"/>
      <c r="T733" s="94"/>
      <c r="U733" s="11"/>
      <c r="V733" s="320">
        <v>1</v>
      </c>
      <c r="W733" s="372" t="e">
        <f>IF(OR(G733="Collectors",G733="Special Pricing",G733="Boutique",G733="leafjoy littles",G733="Premium"),
    IF(V733&gt;0,"Show","Hide"),
    IF(V733 &gt;= _xlfn.XLOOKUP(F733,'Min table'!C$3:C$5,),"Show","Hide")
)</f>
        <v>#VALUE!</v>
      </c>
      <c r="X733" s="317" t="s">
        <v>2387</v>
      </c>
      <c r="Y733" s="317" t="s">
        <v>2387</v>
      </c>
    </row>
    <row r="734" spans="3:25" ht="18.75" hidden="1" x14ac:dyDescent="0.3">
      <c r="C734" s="322"/>
      <c r="D734" s="9"/>
      <c r="E734" s="9"/>
      <c r="F734" s="21" t="s">
        <v>75</v>
      </c>
      <c r="G734" s="20" t="s">
        <v>945</v>
      </c>
      <c r="H734" s="377" t="s">
        <v>730</v>
      </c>
      <c r="I734" s="377"/>
      <c r="J734" s="377" t="s">
        <v>1098</v>
      </c>
      <c r="K734" s="377"/>
      <c r="L734" s="1"/>
      <c r="M734" s="2"/>
      <c r="N734" s="19">
        <v>8.5</v>
      </c>
      <c r="O734" s="22" t="str">
        <f t="shared" si="35"/>
        <v/>
      </c>
      <c r="P734" s="19" t="s">
        <v>1863</v>
      </c>
      <c r="Q734" s="375" t="s">
        <v>224</v>
      </c>
      <c r="R734" s="375"/>
      <c r="S734" s="375"/>
      <c r="T734" s="93"/>
      <c r="U734" s="11"/>
      <c r="V734" s="320">
        <v>19</v>
      </c>
      <c r="W734" s="372" t="str">
        <f>IF(OR(G734="Collectors",G734="Special Pricing",G734="Boutique",G734="leafjoy littles",G734="Premium"),
    IF(V734&gt;0,"Show","Hide"),
    IF(V734 &gt;= _xlfn.XLOOKUP(F734,'Min table'!C$3:C$5,),"Show","Hide")
)</f>
        <v>Show</v>
      </c>
      <c r="X734" s="317" t="s">
        <v>2388</v>
      </c>
      <c r="Y734" s="317" t="s">
        <v>2388</v>
      </c>
    </row>
    <row r="735" spans="3:25" ht="18.75" hidden="1" x14ac:dyDescent="0.3">
      <c r="C735" s="322"/>
      <c r="D735" s="9"/>
      <c r="E735" s="9"/>
      <c r="F735" s="21" t="s">
        <v>75</v>
      </c>
      <c r="G735" s="20" t="s">
        <v>1853</v>
      </c>
      <c r="H735" s="377" t="s">
        <v>2271</v>
      </c>
      <c r="I735" s="377"/>
      <c r="J735" s="377"/>
      <c r="K735" s="377"/>
      <c r="L735" s="1"/>
      <c r="M735" s="2"/>
      <c r="N735" s="19">
        <v>12</v>
      </c>
      <c r="O735" s="22" t="str">
        <f t="shared" si="35"/>
        <v/>
      </c>
      <c r="P735" s="19" t="s">
        <v>2260</v>
      </c>
      <c r="Q735" s="378" t="s">
        <v>242</v>
      </c>
      <c r="R735" s="379"/>
      <c r="S735" s="379"/>
      <c r="T735" s="94"/>
      <c r="U735" s="11"/>
      <c r="V735" s="320">
        <v>1</v>
      </c>
      <c r="W735" s="372" t="e">
        <f>IF(OR(G735="Collectors",G735="Special Pricing",G735="Boutique",G735="leafjoy littles",G735="Premium"),
    IF(V735&gt;0,"Show","Hide"),
    IF(V735 &gt;= _xlfn.XLOOKUP(F735,'Min table'!C$3:C$5,),"Show","Hide")
)</f>
        <v>#VALUE!</v>
      </c>
      <c r="X735" s="317" t="s">
        <v>2389</v>
      </c>
      <c r="Y735" s="317" t="s">
        <v>2389</v>
      </c>
    </row>
    <row r="736" spans="3:25" ht="18.75" hidden="1" x14ac:dyDescent="0.3">
      <c r="C736" s="322"/>
      <c r="D736" s="9"/>
      <c r="E736" s="9"/>
      <c r="F736" s="21" t="s">
        <v>75</v>
      </c>
      <c r="G736" s="20" t="s">
        <v>945</v>
      </c>
      <c r="H736" s="377" t="s">
        <v>2792</v>
      </c>
      <c r="I736" s="377"/>
      <c r="J736" s="377"/>
      <c r="K736" s="377"/>
      <c r="L736" s="1"/>
      <c r="M736" s="2"/>
      <c r="N736" s="19">
        <v>8.5</v>
      </c>
      <c r="O736" s="22"/>
      <c r="P736" s="19" t="s">
        <v>1862</v>
      </c>
      <c r="Q736" s="375" t="s">
        <v>224</v>
      </c>
      <c r="R736" s="375"/>
      <c r="S736" s="375"/>
      <c r="T736" s="94"/>
      <c r="U736" s="11"/>
      <c r="V736" s="320">
        <v>0</v>
      </c>
      <c r="W736" s="372" t="str">
        <f>IF(OR(G736="Collectors",G736="Special Pricing",G736="Boutique",G736="leafjoy littles",G736="Premium"),
    IF(V736&gt;0,"Show","Hide"),
    IF(V736 &gt;= _xlfn.XLOOKUP(F736,'Min table'!C$3:C$5,),"Show","Hide")
)</f>
        <v>Hide</v>
      </c>
    </row>
    <row r="737" spans="3:25" ht="18.75" hidden="1" x14ac:dyDescent="0.3">
      <c r="C737" s="322"/>
      <c r="D737" s="9"/>
      <c r="E737" s="9"/>
      <c r="F737" s="21" t="s">
        <v>75</v>
      </c>
      <c r="G737" s="20" t="s">
        <v>1853</v>
      </c>
      <c r="H737" s="377" t="s">
        <v>2793</v>
      </c>
      <c r="I737" s="377"/>
      <c r="J737" s="377"/>
      <c r="K737" s="377"/>
      <c r="L737" s="1"/>
      <c r="M737" s="2"/>
      <c r="N737" s="19">
        <v>12</v>
      </c>
      <c r="O737" s="22" t="str">
        <f t="shared" ref="O737" si="37">IF(AND(L737="",M737=""),"",(L737*N737)+(M737*(N737+2.25)))</f>
        <v/>
      </c>
      <c r="P737" s="19" t="s">
        <v>1862</v>
      </c>
      <c r="Q737" s="378" t="s">
        <v>242</v>
      </c>
      <c r="R737" s="379"/>
      <c r="S737" s="379"/>
      <c r="T737" s="94"/>
      <c r="U737" s="11"/>
      <c r="V737" s="320">
        <v>8</v>
      </c>
      <c r="W737" s="372" t="e">
        <f>IF(OR(G737="Collectors",G737="Special Pricing",G737="Boutique",G737="leafjoy littles",G737="Premium"),
    IF(V737&gt;0,"Show","Hide"),
    IF(V737 &gt;= _xlfn.XLOOKUP(F737,'Min table'!C$3:C$5,),"Show","Hide")
)</f>
        <v>#VALUE!</v>
      </c>
    </row>
    <row r="738" spans="3:25" ht="18.75" hidden="1" x14ac:dyDescent="0.3">
      <c r="C738" s="322"/>
      <c r="D738" s="9"/>
      <c r="E738" s="9"/>
      <c r="F738" s="21" t="s">
        <v>75</v>
      </c>
      <c r="G738" s="20" t="s">
        <v>945</v>
      </c>
      <c r="H738" s="377" t="s">
        <v>1099</v>
      </c>
      <c r="I738" s="377"/>
      <c r="J738" s="377" t="s">
        <v>415</v>
      </c>
      <c r="K738" s="377"/>
      <c r="L738" s="1"/>
      <c r="M738" s="2"/>
      <c r="N738" s="19">
        <v>8.5</v>
      </c>
      <c r="O738" s="22" t="str">
        <f t="shared" si="35"/>
        <v/>
      </c>
      <c r="P738" s="19" t="s">
        <v>1100</v>
      </c>
      <c r="Q738" s="375" t="s">
        <v>224</v>
      </c>
      <c r="R738" s="375"/>
      <c r="S738" s="375"/>
      <c r="T738" s="93"/>
      <c r="U738" s="11"/>
      <c r="V738" s="320">
        <v>0</v>
      </c>
      <c r="W738" s="372" t="str">
        <f>IF(OR(G738="Collectors",G738="Special Pricing",G738="Boutique",G738="leafjoy littles",G738="Premium"),
    IF(V738&gt;0,"Show","Hide"),
    IF(V738 &gt;= _xlfn.XLOOKUP(F738,'Min table'!C$3:C$5,),"Show","Hide")
)</f>
        <v>Hide</v>
      </c>
      <c r="X738" s="317" t="s">
        <v>2390</v>
      </c>
      <c r="Y738" s="317" t="s">
        <v>2390</v>
      </c>
    </row>
    <row r="739" spans="3:25" ht="18.75" hidden="1" x14ac:dyDescent="0.3">
      <c r="C739" s="322"/>
      <c r="D739" s="9"/>
      <c r="E739" s="9"/>
      <c r="F739" s="21" t="s">
        <v>75</v>
      </c>
      <c r="G739" s="20" t="s">
        <v>945</v>
      </c>
      <c r="H739" s="377" t="s">
        <v>735</v>
      </c>
      <c r="I739" s="377"/>
      <c r="J739" s="377" t="s">
        <v>1101</v>
      </c>
      <c r="K739" s="377"/>
      <c r="L739" s="1"/>
      <c r="M739" s="2"/>
      <c r="N739" s="19">
        <v>8.5</v>
      </c>
      <c r="O739" s="22" t="str">
        <f t="shared" si="35"/>
        <v/>
      </c>
      <c r="P739" s="19" t="s">
        <v>1102</v>
      </c>
      <c r="Q739" s="375" t="s">
        <v>224</v>
      </c>
      <c r="R739" s="375"/>
      <c r="S739" s="375"/>
      <c r="T739" s="93"/>
      <c r="U739" s="11"/>
      <c r="V739" s="320">
        <v>0</v>
      </c>
      <c r="W739" s="372" t="str">
        <f>IF(OR(G739="Collectors",G739="Special Pricing",G739="Boutique",G739="leafjoy littles",G739="Premium"),
    IF(V739&gt;0,"Show","Hide"),
    IF(V739 &gt;= _xlfn.XLOOKUP(F739,'Min table'!C$3:C$5,),"Show","Hide")
)</f>
        <v>Hide</v>
      </c>
      <c r="X739" s="317" t="s">
        <v>2391</v>
      </c>
      <c r="Y739" s="317" t="s">
        <v>2391</v>
      </c>
    </row>
    <row r="740" spans="3:25" ht="18.75" hidden="1" x14ac:dyDescent="0.3">
      <c r="C740" s="322"/>
      <c r="D740" s="9"/>
      <c r="E740" s="9"/>
      <c r="F740" s="21" t="s">
        <v>75</v>
      </c>
      <c r="G740" s="20" t="s">
        <v>945</v>
      </c>
      <c r="H740" s="377" t="s">
        <v>1103</v>
      </c>
      <c r="I740" s="377"/>
      <c r="J740" s="377" t="s">
        <v>1104</v>
      </c>
      <c r="K740" s="377"/>
      <c r="L740" s="1"/>
      <c r="M740" s="2"/>
      <c r="N740" s="19">
        <v>8.5</v>
      </c>
      <c r="O740" s="22" t="str">
        <f t="shared" si="35"/>
        <v/>
      </c>
      <c r="P740" s="19" t="s">
        <v>406</v>
      </c>
      <c r="Q740" s="375" t="s">
        <v>224</v>
      </c>
      <c r="R740" s="375"/>
      <c r="S740" s="375"/>
      <c r="T740" s="93"/>
      <c r="U740" s="11"/>
      <c r="V740" s="320">
        <v>0</v>
      </c>
      <c r="W740" s="372" t="str">
        <f>IF(OR(G740="Collectors",G740="Special Pricing",G740="Boutique",G740="leafjoy littles",G740="Premium"),
    IF(V740&gt;0,"Show","Hide"),
    IF(V740 &gt;= _xlfn.XLOOKUP(F740,'Min table'!C$3:C$5,),"Show","Hide")
)</f>
        <v>Hide</v>
      </c>
      <c r="X740" s="317" t="s">
        <v>2392</v>
      </c>
      <c r="Y740" s="317" t="s">
        <v>2392</v>
      </c>
    </row>
    <row r="741" spans="3:25" ht="18.75" hidden="1" x14ac:dyDescent="0.3">
      <c r="C741" s="322"/>
      <c r="D741" s="9"/>
      <c r="E741" s="9"/>
      <c r="F741" s="21" t="s">
        <v>75</v>
      </c>
      <c r="G741" s="20" t="s">
        <v>945</v>
      </c>
      <c r="H741" s="377" t="s">
        <v>2273</v>
      </c>
      <c r="I741" s="377"/>
      <c r="J741" s="377"/>
      <c r="K741" s="377"/>
      <c r="L741" s="1"/>
      <c r="M741" s="2"/>
      <c r="N741" s="19">
        <v>8.5</v>
      </c>
      <c r="O741" s="22" t="str">
        <f t="shared" si="35"/>
        <v/>
      </c>
      <c r="P741" s="19" t="s">
        <v>1862</v>
      </c>
      <c r="Q741" s="375" t="s">
        <v>224</v>
      </c>
      <c r="R741" s="375"/>
      <c r="S741" s="375"/>
      <c r="T741" s="93"/>
      <c r="U741" s="11"/>
      <c r="V741" s="320">
        <v>6</v>
      </c>
      <c r="W741" s="372" t="str">
        <f>IF(OR(G741="Collectors",G741="Special Pricing",G741="Boutique",G741="leafjoy littles",G741="Premium"),
    IF(V741&gt;0,"Show","Hide"),
    IF(V741 &gt;= _xlfn.XLOOKUP(F741,'Min table'!C$3:C$5,),"Show","Hide")
)</f>
        <v>Show</v>
      </c>
      <c r="X741" s="317" t="s">
        <v>2393</v>
      </c>
      <c r="Y741" s="317" t="s">
        <v>2393</v>
      </c>
    </row>
    <row r="742" spans="3:25" ht="18.75" hidden="1" x14ac:dyDescent="0.3">
      <c r="C742" s="322"/>
      <c r="D742" s="9"/>
      <c r="E742" s="9"/>
      <c r="F742" s="21" t="s">
        <v>75</v>
      </c>
      <c r="G742" s="20" t="s">
        <v>945</v>
      </c>
      <c r="H742" s="377" t="s">
        <v>2577</v>
      </c>
      <c r="I742" s="377"/>
      <c r="J742" s="377" t="s">
        <v>1106</v>
      </c>
      <c r="K742" s="377"/>
      <c r="L742" s="1"/>
      <c r="M742" s="2"/>
      <c r="N742" s="19">
        <v>8.5</v>
      </c>
      <c r="O742" s="22" t="str">
        <f t="shared" ref="O742" si="38">IF(AND(L742="",M742=""),"",(L742*N742)+(M742*(N742+2.25)))</f>
        <v/>
      </c>
      <c r="P742" s="19" t="s">
        <v>349</v>
      </c>
      <c r="Q742" s="375" t="s">
        <v>224</v>
      </c>
      <c r="R742" s="375"/>
      <c r="S742" s="375"/>
      <c r="T742" s="93"/>
      <c r="U742" s="11"/>
      <c r="V742" s="320">
        <v>8</v>
      </c>
      <c r="W742" s="372" t="str">
        <f>IF(OR(G742="Collectors",G742="Special Pricing",G742="Boutique",G742="leafjoy littles",G742="Premium"),
    IF(V742&gt;0,"Show","Hide"),
    IF(V742 &gt;= _xlfn.XLOOKUP(F742,'Min table'!C$3:C$5,),"Show","Hide")
)</f>
        <v>Show</v>
      </c>
      <c r="X742" s="317" t="s">
        <v>2623</v>
      </c>
      <c r="Y742" s="317" t="s">
        <v>2394</v>
      </c>
    </row>
    <row r="743" spans="3:25" ht="18.75" hidden="1" x14ac:dyDescent="0.3">
      <c r="C743" s="322"/>
      <c r="D743" s="9"/>
      <c r="E743" s="9"/>
      <c r="F743" s="21" t="s">
        <v>75</v>
      </c>
      <c r="G743" s="20" t="s">
        <v>945</v>
      </c>
      <c r="H743" s="377" t="s">
        <v>1105</v>
      </c>
      <c r="I743" s="377"/>
      <c r="J743" s="377" t="s">
        <v>1106</v>
      </c>
      <c r="K743" s="377"/>
      <c r="L743" s="1"/>
      <c r="M743" s="2"/>
      <c r="N743" s="19">
        <v>8.5</v>
      </c>
      <c r="O743" s="22" t="str">
        <f t="shared" si="35"/>
        <v/>
      </c>
      <c r="P743" s="19" t="s">
        <v>349</v>
      </c>
      <c r="Q743" s="375" t="s">
        <v>224</v>
      </c>
      <c r="R743" s="375"/>
      <c r="S743" s="375"/>
      <c r="T743" s="93"/>
      <c r="U743" s="11"/>
      <c r="V743" s="320">
        <v>7</v>
      </c>
      <c r="W743" s="372" t="str">
        <f>IF(OR(G743="Collectors",G743="Special Pricing",G743="Boutique",G743="leafjoy littles",G743="Premium"),
    IF(V743&gt;0,"Show","Hide"),
    IF(V743 &gt;= _xlfn.XLOOKUP(F743,'Min table'!C$3:C$5,),"Show","Hide")
)</f>
        <v>Show</v>
      </c>
      <c r="X743" s="317" t="s">
        <v>2394</v>
      </c>
      <c r="Y743" s="317" t="s">
        <v>2394</v>
      </c>
    </row>
    <row r="744" spans="3:25" ht="18.75" hidden="1" x14ac:dyDescent="0.3">
      <c r="C744" s="322"/>
      <c r="D744" s="9"/>
      <c r="E744" s="9"/>
      <c r="F744" s="21" t="s">
        <v>75</v>
      </c>
      <c r="G744" s="20" t="s">
        <v>945</v>
      </c>
      <c r="H744" s="377" t="s">
        <v>1884</v>
      </c>
      <c r="I744" s="377"/>
      <c r="J744" s="377"/>
      <c r="K744" s="377"/>
      <c r="L744" s="1"/>
      <c r="M744" s="2"/>
      <c r="N744" s="19">
        <v>8.5</v>
      </c>
      <c r="O744" s="22" t="str">
        <f t="shared" si="35"/>
        <v/>
      </c>
      <c r="P744" s="19" t="s">
        <v>1882</v>
      </c>
      <c r="Q744" s="375" t="s">
        <v>224</v>
      </c>
      <c r="R744" s="375"/>
      <c r="S744" s="375"/>
      <c r="T744" s="93"/>
      <c r="U744" s="11"/>
      <c r="V744" s="320">
        <v>0</v>
      </c>
      <c r="W744" s="372" t="str">
        <f>IF(OR(G744="Collectors",G744="Special Pricing",G744="Boutique",G744="leafjoy littles",G744="Premium"),
    IF(V744&gt;0,"Show","Hide"),
    IF(V744 &gt;= _xlfn.XLOOKUP(F744,'Min table'!C$3:C$5,),"Show","Hide")
)</f>
        <v>Hide</v>
      </c>
      <c r="X744" s="317" t="s">
        <v>2395</v>
      </c>
      <c r="Y744" s="317" t="s">
        <v>2395</v>
      </c>
    </row>
    <row r="745" spans="3:25" ht="18.75" hidden="1" x14ac:dyDescent="0.3">
      <c r="C745" s="322"/>
      <c r="D745" s="9"/>
      <c r="E745" s="9"/>
      <c r="F745" s="21" t="s">
        <v>75</v>
      </c>
      <c r="G745" s="20" t="s">
        <v>945</v>
      </c>
      <c r="H745" s="377" t="s">
        <v>747</v>
      </c>
      <c r="I745" s="377"/>
      <c r="J745" s="377" t="s">
        <v>1107</v>
      </c>
      <c r="K745" s="377"/>
      <c r="L745" s="1"/>
      <c r="M745" s="2"/>
      <c r="N745" s="19">
        <v>8.5</v>
      </c>
      <c r="O745" s="22" t="str">
        <f t="shared" si="35"/>
        <v/>
      </c>
      <c r="P745" s="19" t="s">
        <v>1100</v>
      </c>
      <c r="Q745" s="375" t="s">
        <v>224</v>
      </c>
      <c r="R745" s="375"/>
      <c r="S745" s="375"/>
      <c r="T745" s="93"/>
      <c r="U745" s="11"/>
      <c r="V745" s="320">
        <v>0</v>
      </c>
      <c r="W745" s="372" t="str">
        <f>IF(OR(G745="Collectors",G745="Special Pricing",G745="Boutique",G745="leafjoy littles",G745="Premium"),
    IF(V745&gt;0,"Show","Hide"),
    IF(V745 &gt;= _xlfn.XLOOKUP(F745,'Min table'!C$3:C$5,),"Show","Hide")
)</f>
        <v>Hide</v>
      </c>
      <c r="X745" s="317" t="s">
        <v>2137</v>
      </c>
      <c r="Y745" s="317" t="s">
        <v>2137</v>
      </c>
    </row>
    <row r="746" spans="3:25" ht="18.75" hidden="1" x14ac:dyDescent="0.3">
      <c r="C746" s="322"/>
      <c r="D746" s="9"/>
      <c r="E746" s="9"/>
      <c r="F746" s="21" t="s">
        <v>75</v>
      </c>
      <c r="G746" s="20" t="s">
        <v>945</v>
      </c>
      <c r="H746" s="377" t="s">
        <v>749</v>
      </c>
      <c r="I746" s="377"/>
      <c r="J746" s="377" t="s">
        <v>1108</v>
      </c>
      <c r="K746" s="377"/>
      <c r="L746" s="1"/>
      <c r="M746" s="2"/>
      <c r="N746" s="19">
        <v>8.5</v>
      </c>
      <c r="O746" s="22" t="str">
        <f t="shared" si="35"/>
        <v/>
      </c>
      <c r="P746" s="19" t="s">
        <v>1109</v>
      </c>
      <c r="Q746" s="375" t="s">
        <v>224</v>
      </c>
      <c r="R746" s="375"/>
      <c r="S746" s="375"/>
      <c r="T746" s="93"/>
      <c r="U746" s="11"/>
      <c r="V746" s="320">
        <v>0</v>
      </c>
      <c r="W746" s="372" t="str">
        <f>IF(OR(G746="Collectors",G746="Special Pricing",G746="Boutique",G746="leafjoy littles",G746="Premium"),
    IF(V746&gt;0,"Show","Hide"),
    IF(V746 &gt;= _xlfn.XLOOKUP(F746,'Min table'!C$3:C$5,),"Show","Hide")
)</f>
        <v>Hide</v>
      </c>
      <c r="X746" s="317" t="s">
        <v>2396</v>
      </c>
      <c r="Y746" s="317" t="s">
        <v>2396</v>
      </c>
    </row>
    <row r="747" spans="3:25" ht="18.75" hidden="1" x14ac:dyDescent="0.3">
      <c r="C747" s="322"/>
      <c r="D747" s="9"/>
      <c r="E747" s="9"/>
      <c r="F747" s="21" t="s">
        <v>75</v>
      </c>
      <c r="G747" s="20" t="s">
        <v>942</v>
      </c>
      <c r="H747" s="420" t="s">
        <v>2776</v>
      </c>
      <c r="I747" s="421"/>
      <c r="J747" s="421"/>
      <c r="K747" s="422"/>
      <c r="L747" s="1"/>
      <c r="M747" s="2"/>
      <c r="N747" s="19">
        <v>11.5</v>
      </c>
      <c r="O747" s="22" t="str">
        <f t="shared" ref="O747" si="39">IF(AND(L747="",M747=""),"",(L747*N747)+(M747*(N747+2.25)))</f>
        <v/>
      </c>
      <c r="P747" s="19" t="s">
        <v>1862</v>
      </c>
      <c r="Q747" s="375" t="s">
        <v>242</v>
      </c>
      <c r="R747" s="375"/>
      <c r="S747" s="375"/>
      <c r="T747" s="93"/>
      <c r="U747" s="11"/>
      <c r="V747" s="320">
        <v>0</v>
      </c>
      <c r="W747" s="372" t="str">
        <f>IF(OR(G747="Collectors",G747="Special Pricing",G747="Boutique",G747="leafjoy littles",G747="Premium"),
    IF(V747&gt;0,"Show","Hide"),
    IF(V747 &gt;= _xlfn.XLOOKUP(F747,'Min table'!C$3:C$5,),"Show","Hide")
)</f>
        <v>Hide</v>
      </c>
    </row>
    <row r="748" spans="3:25" ht="18.75" hidden="1" x14ac:dyDescent="0.3">
      <c r="C748" s="322"/>
      <c r="D748" s="9"/>
      <c r="E748" s="9"/>
      <c r="F748" s="21" t="s">
        <v>75</v>
      </c>
      <c r="G748" s="20" t="s">
        <v>945</v>
      </c>
      <c r="H748" s="377" t="s">
        <v>1883</v>
      </c>
      <c r="I748" s="377"/>
      <c r="J748" s="377"/>
      <c r="K748" s="377"/>
      <c r="L748" s="1"/>
      <c r="M748" s="2"/>
      <c r="N748" s="19">
        <v>8.5</v>
      </c>
      <c r="O748" s="22" t="str">
        <f t="shared" si="35"/>
        <v/>
      </c>
      <c r="P748" s="19" t="s">
        <v>1862</v>
      </c>
      <c r="Q748" s="375" t="s">
        <v>224</v>
      </c>
      <c r="R748" s="375"/>
      <c r="S748" s="375"/>
      <c r="T748" s="93"/>
      <c r="U748" s="11"/>
      <c r="V748" s="320">
        <v>2</v>
      </c>
      <c r="W748" s="372" t="str">
        <f>IF(OR(G748="Collectors",G748="Special Pricing",G748="Boutique",G748="leafjoy littles",G748="Premium"),
    IF(V748&gt;0,"Show","Hide"),
    IF(V748 &gt;= _xlfn.XLOOKUP(F748,'Min table'!C$3:C$5,),"Show","Hide")
)</f>
        <v>Show</v>
      </c>
      <c r="X748" s="317" t="s">
        <v>2397</v>
      </c>
      <c r="Y748" s="317" t="s">
        <v>2397</v>
      </c>
    </row>
    <row r="749" spans="3:25" ht="18.75" hidden="1" x14ac:dyDescent="0.3">
      <c r="C749" s="322"/>
      <c r="D749" s="9"/>
      <c r="E749" s="9"/>
      <c r="F749" s="21" t="s">
        <v>75</v>
      </c>
      <c r="G749" s="20" t="s">
        <v>945</v>
      </c>
      <c r="H749" s="377" t="s">
        <v>1110</v>
      </c>
      <c r="I749" s="377"/>
      <c r="J749" s="377" t="s">
        <v>1111</v>
      </c>
      <c r="K749" s="377"/>
      <c r="L749" s="1"/>
      <c r="M749" s="2"/>
      <c r="N749" s="19">
        <v>8.5</v>
      </c>
      <c r="O749" s="22" t="str">
        <f t="shared" si="35"/>
        <v/>
      </c>
      <c r="P749" s="19" t="s">
        <v>1016</v>
      </c>
      <c r="Q749" s="375" t="s">
        <v>224</v>
      </c>
      <c r="R749" s="375"/>
      <c r="S749" s="375"/>
      <c r="T749" s="93"/>
      <c r="U749" s="11"/>
      <c r="V749" s="320">
        <v>0</v>
      </c>
      <c r="W749" s="372" t="str">
        <f>IF(OR(G749="Collectors",G749="Special Pricing",G749="Boutique",G749="leafjoy littles",G749="Premium"),
    IF(V749&gt;0,"Show","Hide"),
    IF(V749 &gt;= _xlfn.XLOOKUP(F749,'Min table'!C$3:C$5,),"Show","Hide")
)</f>
        <v>Hide</v>
      </c>
      <c r="X749" s="317" t="s">
        <v>2398</v>
      </c>
      <c r="Y749" s="317" t="s">
        <v>2398</v>
      </c>
    </row>
    <row r="750" spans="3:25" ht="18.75" hidden="1" x14ac:dyDescent="0.3">
      <c r="C750" s="322"/>
      <c r="D750" s="9"/>
      <c r="E750" s="9"/>
      <c r="F750" s="21" t="s">
        <v>75</v>
      </c>
      <c r="G750" s="20" t="s">
        <v>945</v>
      </c>
      <c r="H750" s="377" t="s">
        <v>1112</v>
      </c>
      <c r="I750" s="377"/>
      <c r="J750" s="377" t="s">
        <v>1113</v>
      </c>
      <c r="K750" s="377"/>
      <c r="L750" s="1"/>
      <c r="M750" s="2"/>
      <c r="N750" s="19">
        <v>8.5</v>
      </c>
      <c r="O750" s="22" t="str">
        <f t="shared" si="35"/>
        <v/>
      </c>
      <c r="P750" s="19" t="s">
        <v>349</v>
      </c>
      <c r="Q750" s="375" t="s">
        <v>224</v>
      </c>
      <c r="R750" s="375"/>
      <c r="S750" s="375"/>
      <c r="T750" s="93"/>
      <c r="U750" s="11"/>
      <c r="V750" s="320">
        <v>0</v>
      </c>
      <c r="W750" s="372" t="str">
        <f>IF(OR(G750="Collectors",G750="Special Pricing",G750="Boutique",G750="leafjoy littles",G750="Premium"),
    IF(V750&gt;0,"Show","Hide"),
    IF(V750 &gt;= _xlfn.XLOOKUP(F750,'Min table'!C$3:C$5,),"Show","Hide")
)</f>
        <v>Hide</v>
      </c>
      <c r="X750" s="317" t="s">
        <v>2399</v>
      </c>
      <c r="Y750" s="317" t="s">
        <v>2399</v>
      </c>
    </row>
    <row r="751" spans="3:25" ht="18.75" hidden="1" x14ac:dyDescent="0.3">
      <c r="C751" s="322"/>
      <c r="D751" s="9"/>
      <c r="E751" s="9"/>
      <c r="F751" s="21" t="s">
        <v>75</v>
      </c>
      <c r="G751" s="20" t="s">
        <v>945</v>
      </c>
      <c r="H751" s="377" t="s">
        <v>758</v>
      </c>
      <c r="I751" s="377"/>
      <c r="J751" s="377" t="s">
        <v>1114</v>
      </c>
      <c r="K751" s="377"/>
      <c r="L751" s="1"/>
      <c r="M751" s="2"/>
      <c r="N751" s="19">
        <v>8.5</v>
      </c>
      <c r="O751" s="22" t="str">
        <f t="shared" si="35"/>
        <v/>
      </c>
      <c r="P751" s="19" t="s">
        <v>1115</v>
      </c>
      <c r="Q751" s="375" t="s">
        <v>224</v>
      </c>
      <c r="R751" s="375"/>
      <c r="S751" s="375"/>
      <c r="T751" s="93"/>
      <c r="U751" s="11"/>
      <c r="V751" s="320">
        <v>0</v>
      </c>
      <c r="W751" s="372" t="str">
        <f>IF(OR(G751="Collectors",G751="Special Pricing",G751="Boutique",G751="leafjoy littles",G751="Premium"),
    IF(V751&gt;0,"Show","Hide"),
    IF(V751 &gt;= _xlfn.XLOOKUP(F751,'Min table'!C$3:C$5,),"Show","Hide")
)</f>
        <v>Hide</v>
      </c>
      <c r="X751" s="317" t="s">
        <v>2143</v>
      </c>
      <c r="Y751" s="317" t="s">
        <v>2143</v>
      </c>
    </row>
    <row r="752" spans="3:25" ht="18.75" hidden="1" x14ac:dyDescent="0.3">
      <c r="C752" s="322"/>
      <c r="D752" s="9"/>
      <c r="E752" s="9"/>
      <c r="F752" s="21" t="s">
        <v>75</v>
      </c>
      <c r="G752" s="20" t="s">
        <v>945</v>
      </c>
      <c r="H752" s="377" t="s">
        <v>760</v>
      </c>
      <c r="I752" s="377"/>
      <c r="J752" s="377" t="s">
        <v>1116</v>
      </c>
      <c r="K752" s="377"/>
      <c r="L752" s="1"/>
      <c r="M752" s="2"/>
      <c r="N752" s="19">
        <v>8.5</v>
      </c>
      <c r="O752" s="22" t="str">
        <f t="shared" si="35"/>
        <v/>
      </c>
      <c r="P752" s="19" t="s">
        <v>1117</v>
      </c>
      <c r="Q752" s="375" t="s">
        <v>224</v>
      </c>
      <c r="R752" s="375"/>
      <c r="S752" s="375"/>
      <c r="T752" s="93"/>
      <c r="U752" s="11"/>
      <c r="V752" s="320">
        <v>0</v>
      </c>
      <c r="W752" s="372" t="str">
        <f>IF(OR(G752="Collectors",G752="Special Pricing",G752="Boutique",G752="leafjoy littles",G752="Premium"),
    IF(V752&gt;0,"Show","Hide"),
    IF(V752 &gt;= _xlfn.XLOOKUP(F752,'Min table'!C$3:C$5,),"Show","Hide")
)</f>
        <v>Hide</v>
      </c>
      <c r="X752" s="317" t="s">
        <v>2144</v>
      </c>
      <c r="Y752" s="317" t="s">
        <v>2144</v>
      </c>
    </row>
    <row r="753" spans="3:25" ht="18.75" hidden="1" x14ac:dyDescent="0.3">
      <c r="C753" s="322"/>
      <c r="D753" s="9"/>
      <c r="E753" s="9"/>
      <c r="F753" s="21" t="s">
        <v>75</v>
      </c>
      <c r="G753" s="20" t="s">
        <v>945</v>
      </c>
      <c r="H753" s="377" t="s">
        <v>762</v>
      </c>
      <c r="I753" s="377"/>
      <c r="J753" s="377" t="s">
        <v>1118</v>
      </c>
      <c r="K753" s="377"/>
      <c r="L753" s="1"/>
      <c r="M753" s="2"/>
      <c r="N753" s="19">
        <v>8.5</v>
      </c>
      <c r="O753" s="22" t="str">
        <f t="shared" si="35"/>
        <v/>
      </c>
      <c r="P753" s="19" t="s">
        <v>1119</v>
      </c>
      <c r="Q753" s="375" t="s">
        <v>224</v>
      </c>
      <c r="R753" s="375"/>
      <c r="S753" s="375"/>
      <c r="T753" s="93"/>
      <c r="U753" s="11"/>
      <c r="V753" s="320">
        <v>0</v>
      </c>
      <c r="W753" s="372" t="str">
        <f>IF(OR(G753="Collectors",G753="Special Pricing",G753="Boutique",G753="leafjoy littles",G753="Premium"),
    IF(V753&gt;0,"Show","Hide"),
    IF(V753 &gt;= _xlfn.XLOOKUP(F753,'Min table'!C$3:C$5,),"Show","Hide")
)</f>
        <v>Hide</v>
      </c>
      <c r="X753" s="317" t="s">
        <v>2400</v>
      </c>
      <c r="Y753" s="317" t="s">
        <v>2400</v>
      </c>
    </row>
    <row r="754" spans="3:25" ht="18.75" hidden="1" x14ac:dyDescent="0.3">
      <c r="C754" s="322"/>
      <c r="D754" s="9"/>
      <c r="E754" s="9"/>
      <c r="F754" s="21" t="s">
        <v>75</v>
      </c>
      <c r="G754" s="20" t="s">
        <v>945</v>
      </c>
      <c r="H754" s="377" t="s">
        <v>764</v>
      </c>
      <c r="I754" s="377"/>
      <c r="J754" s="377" t="s">
        <v>1120</v>
      </c>
      <c r="K754" s="377"/>
      <c r="L754" s="1"/>
      <c r="M754" s="2"/>
      <c r="N754" s="19">
        <v>8.5</v>
      </c>
      <c r="O754" s="22" t="str">
        <f t="shared" si="35"/>
        <v/>
      </c>
      <c r="P754" s="19" t="s">
        <v>1119</v>
      </c>
      <c r="Q754" s="375" t="s">
        <v>224</v>
      </c>
      <c r="R754" s="375"/>
      <c r="S754" s="375"/>
      <c r="T754" s="93"/>
      <c r="U754" s="11"/>
      <c r="V754" s="320">
        <v>0</v>
      </c>
      <c r="W754" s="372" t="str">
        <f>IF(OR(G754="Collectors",G754="Special Pricing",G754="Boutique",G754="leafjoy littles",G754="Premium"),
    IF(V754&gt;0,"Show","Hide"),
    IF(V754 &gt;= _xlfn.XLOOKUP(F754,'Min table'!C$3:C$5,),"Show","Hide")
)</f>
        <v>Hide</v>
      </c>
      <c r="X754" s="317" t="s">
        <v>2401</v>
      </c>
      <c r="Y754" s="317" t="s">
        <v>2401</v>
      </c>
    </row>
    <row r="755" spans="3:25" ht="18.75" hidden="1" x14ac:dyDescent="0.3">
      <c r="C755" s="322"/>
      <c r="D755" s="9"/>
      <c r="E755" s="9"/>
      <c r="F755" s="21" t="s">
        <v>75</v>
      </c>
      <c r="G755" s="20" t="s">
        <v>945</v>
      </c>
      <c r="H755" s="377" t="s">
        <v>766</v>
      </c>
      <c r="I755" s="377"/>
      <c r="J755" s="377" t="s">
        <v>1121</v>
      </c>
      <c r="K755" s="377"/>
      <c r="L755" s="1"/>
      <c r="M755" s="2"/>
      <c r="N755" s="19">
        <v>8.5</v>
      </c>
      <c r="O755" s="22" t="str">
        <f t="shared" si="35"/>
        <v/>
      </c>
      <c r="P755" s="19" t="s">
        <v>1122</v>
      </c>
      <c r="Q755" s="375" t="s">
        <v>224</v>
      </c>
      <c r="R755" s="375"/>
      <c r="S755" s="375"/>
      <c r="T755" s="93"/>
      <c r="U755" s="11"/>
      <c r="V755" s="320">
        <v>0</v>
      </c>
      <c r="W755" s="372" t="str">
        <f>IF(OR(G755="Collectors",G755="Special Pricing",G755="Boutique",G755="leafjoy littles",G755="Premium"),
    IF(V755&gt;0,"Show","Hide"),
    IF(V755 &gt;= _xlfn.XLOOKUP(F755,'Min table'!C$3:C$5,),"Show","Hide")
)</f>
        <v>Hide</v>
      </c>
      <c r="X755" s="317" t="s">
        <v>2402</v>
      </c>
      <c r="Y755" s="317" t="s">
        <v>2402</v>
      </c>
    </row>
    <row r="756" spans="3:25" ht="18.75" hidden="1" x14ac:dyDescent="0.3">
      <c r="C756" s="322"/>
      <c r="D756" s="9"/>
      <c r="E756" s="9"/>
      <c r="F756" s="21" t="s">
        <v>75</v>
      </c>
      <c r="G756" s="20" t="s">
        <v>945</v>
      </c>
      <c r="H756" s="377" t="s">
        <v>769</v>
      </c>
      <c r="I756" s="377"/>
      <c r="J756" s="377" t="s">
        <v>1123</v>
      </c>
      <c r="K756" s="377"/>
      <c r="L756" s="1"/>
      <c r="M756" s="2"/>
      <c r="N756" s="19">
        <v>8.5</v>
      </c>
      <c r="O756" s="22" t="str">
        <f t="shared" si="35"/>
        <v/>
      </c>
      <c r="P756" s="19" t="s">
        <v>1119</v>
      </c>
      <c r="Q756" s="375" t="s">
        <v>224</v>
      </c>
      <c r="R756" s="375"/>
      <c r="S756" s="375"/>
      <c r="T756" s="93"/>
      <c r="U756" s="11"/>
      <c r="V756" s="320">
        <v>0</v>
      </c>
      <c r="W756" s="372" t="str">
        <f>IF(OR(G756="Collectors",G756="Special Pricing",G756="Boutique",G756="leafjoy littles",G756="Premium"),
    IF(V756&gt;0,"Show","Hide"),
    IF(V756 &gt;= _xlfn.XLOOKUP(F756,'Min table'!C$3:C$5,),"Show","Hide")
)</f>
        <v>Hide</v>
      </c>
      <c r="X756" s="317" t="s">
        <v>2403</v>
      </c>
      <c r="Y756" s="317" t="s">
        <v>2403</v>
      </c>
    </row>
    <row r="757" spans="3:25" ht="18.75" hidden="1" x14ac:dyDescent="0.3">
      <c r="C757" s="322"/>
      <c r="D757" s="9"/>
      <c r="E757" s="9"/>
      <c r="F757" s="21" t="s">
        <v>75</v>
      </c>
      <c r="G757" s="20" t="s">
        <v>945</v>
      </c>
      <c r="H757" s="377" t="s">
        <v>1124</v>
      </c>
      <c r="I757" s="377"/>
      <c r="J757" s="377" t="s">
        <v>1125</v>
      </c>
      <c r="K757" s="377"/>
      <c r="L757" s="1"/>
      <c r="M757" s="2"/>
      <c r="N757" s="19">
        <v>8.5</v>
      </c>
      <c r="O757" s="22" t="str">
        <f t="shared" si="35"/>
        <v/>
      </c>
      <c r="P757" s="19" t="s">
        <v>604</v>
      </c>
      <c r="Q757" s="375" t="s">
        <v>224</v>
      </c>
      <c r="R757" s="375"/>
      <c r="S757" s="375"/>
      <c r="T757" s="93"/>
      <c r="U757" s="11"/>
      <c r="V757" s="320">
        <v>0</v>
      </c>
      <c r="W757" s="372" t="str">
        <f>IF(OR(G757="Collectors",G757="Special Pricing",G757="Boutique",G757="leafjoy littles",G757="Premium"),
    IF(V757&gt;0,"Show","Hide"),
    IF(V757 &gt;= _xlfn.XLOOKUP(F757,'Min table'!C$3:C$5,),"Show","Hide")
)</f>
        <v>Hide</v>
      </c>
      <c r="X757" s="342" t="s">
        <v>2404</v>
      </c>
      <c r="Y757" s="317" t="s">
        <v>2404</v>
      </c>
    </row>
    <row r="758" spans="3:25" ht="18.75" hidden="1" x14ac:dyDescent="0.3">
      <c r="C758" s="322"/>
      <c r="D758" s="9"/>
      <c r="E758" s="9"/>
      <c r="F758" s="21" t="s">
        <v>75</v>
      </c>
      <c r="G758" s="20" t="s">
        <v>945</v>
      </c>
      <c r="H758" s="377" t="s">
        <v>1126</v>
      </c>
      <c r="I758" s="377"/>
      <c r="J758" s="377" t="s">
        <v>1127</v>
      </c>
      <c r="K758" s="377"/>
      <c r="L758" s="1"/>
      <c r="M758" s="2"/>
      <c r="N758" s="19">
        <v>8.5</v>
      </c>
      <c r="O758" s="22" t="str">
        <f t="shared" si="35"/>
        <v/>
      </c>
      <c r="P758" s="19" t="s">
        <v>1128</v>
      </c>
      <c r="Q758" s="375" t="s">
        <v>224</v>
      </c>
      <c r="R758" s="375"/>
      <c r="S758" s="375"/>
      <c r="T758" s="93"/>
      <c r="U758" s="11"/>
      <c r="V758" s="320">
        <v>0</v>
      </c>
      <c r="W758" s="372" t="str">
        <f>IF(OR(G758="Collectors",G758="Special Pricing",G758="Boutique",G758="leafjoy littles",G758="Premium"),
    IF(V758&gt;0,"Show","Hide"),
    IF(V758 &gt;= _xlfn.XLOOKUP(F758,'Min table'!C$3:C$5,),"Show","Hide")
)</f>
        <v>Hide</v>
      </c>
      <c r="X758" s="317" t="s">
        <v>2405</v>
      </c>
      <c r="Y758" s="317" t="s">
        <v>2405</v>
      </c>
    </row>
    <row r="759" spans="3:25" ht="18.75" hidden="1" x14ac:dyDescent="0.3">
      <c r="C759" s="322"/>
      <c r="D759" s="9"/>
      <c r="E759" s="9"/>
      <c r="F759" s="21" t="s">
        <v>75</v>
      </c>
      <c r="G759" s="20" t="s">
        <v>945</v>
      </c>
      <c r="H759" s="517" t="s">
        <v>2578</v>
      </c>
      <c r="I759" s="377"/>
      <c r="J759" s="377" t="s">
        <v>1106</v>
      </c>
      <c r="K759" s="377"/>
      <c r="L759" s="1"/>
      <c r="M759" s="2"/>
      <c r="N759" s="19">
        <v>8.5</v>
      </c>
      <c r="O759" s="22" t="str">
        <f t="shared" ref="O759" si="40">IF(AND(L759="",M759=""),"",(L759*N759)+(M759*(N759+2.25)))</f>
        <v/>
      </c>
      <c r="P759" s="19" t="s">
        <v>349</v>
      </c>
      <c r="Q759" s="375" t="s">
        <v>224</v>
      </c>
      <c r="R759" s="375"/>
      <c r="S759" s="375"/>
      <c r="T759" s="93"/>
      <c r="U759" s="11"/>
      <c r="V759" s="320">
        <v>0</v>
      </c>
      <c r="W759" s="372" t="str">
        <f>IF(OR(G759="Collectors",G759="Special Pricing",G759="Boutique",G759="leafjoy littles",G759="Premium"),
    IF(V759&gt;0,"Show","Hide"),
    IF(V759 &gt;= _xlfn.XLOOKUP(F759,'Min table'!C$3:C$5,),"Show","Hide")
)</f>
        <v>Hide</v>
      </c>
      <c r="X759" s="317" t="s">
        <v>2624</v>
      </c>
      <c r="Y759" s="317" t="s">
        <v>2394</v>
      </c>
    </row>
    <row r="760" spans="3:25" ht="18.75" hidden="1" x14ac:dyDescent="0.3">
      <c r="C760" s="322"/>
      <c r="D760" s="9"/>
      <c r="E760" s="9"/>
      <c r="F760" s="21" t="s">
        <v>75</v>
      </c>
      <c r="G760" s="20" t="s">
        <v>942</v>
      </c>
      <c r="H760" s="377" t="s">
        <v>1828</v>
      </c>
      <c r="I760" s="377"/>
      <c r="J760" s="377"/>
      <c r="K760" s="377"/>
      <c r="L760" s="1"/>
      <c r="M760" s="2"/>
      <c r="N760" s="19">
        <v>11.5</v>
      </c>
      <c r="O760" s="22" t="str">
        <f t="shared" si="35"/>
        <v/>
      </c>
      <c r="P760" s="19" t="s">
        <v>1862</v>
      </c>
      <c r="Q760" s="375" t="s">
        <v>242</v>
      </c>
      <c r="R760" s="375"/>
      <c r="S760" s="375"/>
      <c r="T760" s="93"/>
      <c r="U760" s="11"/>
      <c r="V760" s="320">
        <v>5</v>
      </c>
      <c r="W760" s="372" t="str">
        <f>IF(OR(G760="Collectors",G760="Special Pricing",G760="Boutique",G760="leafjoy littles",G760="Premium"),
    IF(V760&gt;0,"Show","Hide"),
    IF(V760 &gt;= _xlfn.XLOOKUP(F760,'Min table'!C$3:C$5,),"Show","Hide")
)</f>
        <v>Show</v>
      </c>
      <c r="X760" s="317" t="s">
        <v>2406</v>
      </c>
      <c r="Y760" s="317" t="s">
        <v>2406</v>
      </c>
    </row>
    <row r="761" spans="3:25" ht="18.75" hidden="1" x14ac:dyDescent="0.3">
      <c r="C761" s="322"/>
      <c r="D761" s="9"/>
      <c r="E761" s="9"/>
      <c r="F761" s="21" t="s">
        <v>75</v>
      </c>
      <c r="G761" s="20" t="s">
        <v>942</v>
      </c>
      <c r="H761" s="376" t="s">
        <v>1829</v>
      </c>
      <c r="I761" s="376"/>
      <c r="J761" s="376"/>
      <c r="K761" s="376"/>
      <c r="L761" s="1"/>
      <c r="M761" s="2"/>
      <c r="N761" s="19">
        <v>11.5</v>
      </c>
      <c r="O761" s="22" t="str">
        <f t="shared" si="35"/>
        <v/>
      </c>
      <c r="P761" s="19" t="s">
        <v>1862</v>
      </c>
      <c r="Q761" s="375" t="s">
        <v>242</v>
      </c>
      <c r="R761" s="375"/>
      <c r="S761" s="375"/>
      <c r="T761" s="93"/>
      <c r="U761" s="11"/>
      <c r="V761" s="320">
        <v>5</v>
      </c>
      <c r="W761" s="372" t="str">
        <f>IF(OR(G761="Collectors",G761="Special Pricing",G761="Boutique",G761="leafjoy littles",G761="Premium"),
    IF(V761&gt;0,"Show","Hide"),
    IF(V761 &gt;= _xlfn.XLOOKUP(F761,'Min table'!C$3:C$5,),"Show","Hide")
)</f>
        <v>Show</v>
      </c>
      <c r="X761" s="317" t="s">
        <v>2407</v>
      </c>
      <c r="Y761" s="317" t="s">
        <v>2407</v>
      </c>
    </row>
    <row r="762" spans="3:25" ht="18.75" hidden="1" x14ac:dyDescent="0.3">
      <c r="C762" s="322"/>
      <c r="D762" s="9"/>
      <c r="E762" s="9"/>
      <c r="F762" s="21" t="s">
        <v>75</v>
      </c>
      <c r="G762" s="20" t="s">
        <v>945</v>
      </c>
      <c r="H762" s="377" t="s">
        <v>1830</v>
      </c>
      <c r="I762" s="377"/>
      <c r="J762" s="377"/>
      <c r="K762" s="377"/>
      <c r="L762" s="1"/>
      <c r="M762" s="2"/>
      <c r="N762" s="19">
        <v>8.5</v>
      </c>
      <c r="O762" s="22" t="str">
        <f t="shared" si="35"/>
        <v/>
      </c>
      <c r="P762" s="19" t="s">
        <v>1862</v>
      </c>
      <c r="Q762" s="375" t="s">
        <v>224</v>
      </c>
      <c r="R762" s="375"/>
      <c r="S762" s="375"/>
      <c r="T762" s="93"/>
      <c r="U762" s="11"/>
      <c r="V762" s="320">
        <v>0</v>
      </c>
      <c r="W762" s="372" t="str">
        <f>IF(OR(G762="Collectors",G762="Special Pricing",G762="Boutique",G762="leafjoy littles",G762="Premium"),
    IF(V762&gt;0,"Show","Hide"),
    IF(V762 &gt;= _xlfn.XLOOKUP(F762,'Min table'!C$3:C$5,),"Show","Hide")
)</f>
        <v>Hide</v>
      </c>
      <c r="X762" s="317" t="s">
        <v>2408</v>
      </c>
      <c r="Y762" s="317" t="s">
        <v>2408</v>
      </c>
    </row>
    <row r="763" spans="3:25" ht="18.75" x14ac:dyDescent="0.3">
      <c r="C763" s="322"/>
      <c r="D763" s="9"/>
      <c r="E763" s="9"/>
      <c r="F763" s="21" t="s">
        <v>75</v>
      </c>
      <c r="G763" s="20" t="s">
        <v>942</v>
      </c>
      <c r="H763" s="376" t="s">
        <v>1129</v>
      </c>
      <c r="I763" s="376"/>
      <c r="J763" s="376" t="s">
        <v>1130</v>
      </c>
      <c r="K763" s="376"/>
      <c r="L763" s="1"/>
      <c r="M763" s="2"/>
      <c r="N763" s="19">
        <v>11.5</v>
      </c>
      <c r="O763" s="22" t="str">
        <f t="shared" si="35"/>
        <v/>
      </c>
      <c r="P763" s="19" t="s">
        <v>1131</v>
      </c>
      <c r="Q763" s="375" t="s">
        <v>242</v>
      </c>
      <c r="R763" s="375"/>
      <c r="S763" s="375"/>
      <c r="T763" s="106"/>
      <c r="U763" s="11"/>
      <c r="V763" s="320">
        <v>42</v>
      </c>
      <c r="W763" s="372" t="str">
        <f>IF(OR(G763="Collectors",G763="Special Pricing",G763="Boutique",G763="leafjoy littles",G763="Premium"),
    IF(V763&gt;0,"Show","Hide"),
    IF(V763 &gt;= _xlfn.XLOOKUP(F763,'Min table'!C$3:C$5,),"Show","Hide")
)</f>
        <v>Show</v>
      </c>
      <c r="X763" s="317" t="s">
        <v>2409</v>
      </c>
      <c r="Y763" s="317" t="s">
        <v>2409</v>
      </c>
    </row>
    <row r="764" spans="3:25" ht="18.75" hidden="1" x14ac:dyDescent="0.3">
      <c r="C764" s="322"/>
      <c r="D764" s="9"/>
      <c r="E764" s="9"/>
      <c r="F764" s="21" t="s">
        <v>75</v>
      </c>
      <c r="G764" s="20" t="s">
        <v>942</v>
      </c>
      <c r="H764" s="377" t="s">
        <v>1132</v>
      </c>
      <c r="I764" s="377"/>
      <c r="J764" s="377" t="s">
        <v>1133</v>
      </c>
      <c r="K764" s="377"/>
      <c r="L764" s="1"/>
      <c r="M764" s="2"/>
      <c r="N764" s="19">
        <v>11.5</v>
      </c>
      <c r="O764" s="22" t="str">
        <f t="shared" ref="O764:O827" si="41">IF(AND(L764="",M764=""),"",(L764*N764)+(M764*(N764+2.25)))</f>
        <v/>
      </c>
      <c r="P764" s="19" t="s">
        <v>231</v>
      </c>
      <c r="Q764" s="375" t="s">
        <v>242</v>
      </c>
      <c r="R764" s="375"/>
      <c r="S764" s="375"/>
      <c r="T764" s="93"/>
      <c r="U764" s="11"/>
      <c r="V764" s="320">
        <v>0</v>
      </c>
      <c r="W764" s="372" t="str">
        <f>IF(OR(G764="Collectors",G764="Special Pricing",G764="Boutique",G764="leafjoy littles",G764="Premium"),
    IF(V764&gt;0,"Show","Hide"),
    IF(V764 &gt;= _xlfn.XLOOKUP(F764,'Min table'!C$3:C$5,),"Show","Hide")
)</f>
        <v>Hide</v>
      </c>
      <c r="X764" s="317" t="s">
        <v>2410</v>
      </c>
      <c r="Y764" s="317" t="s">
        <v>2410</v>
      </c>
    </row>
    <row r="765" spans="3:25" ht="18.75" hidden="1" x14ac:dyDescent="0.3">
      <c r="C765" s="322"/>
      <c r="D765" s="9"/>
      <c r="E765" s="9"/>
      <c r="F765" s="21" t="s">
        <v>75</v>
      </c>
      <c r="G765" s="20" t="s">
        <v>945</v>
      </c>
      <c r="H765" s="377" t="s">
        <v>1134</v>
      </c>
      <c r="I765" s="377"/>
      <c r="J765" s="377" t="s">
        <v>1135</v>
      </c>
      <c r="K765" s="377"/>
      <c r="L765" s="1"/>
      <c r="M765" s="2"/>
      <c r="N765" s="19">
        <v>8.5</v>
      </c>
      <c r="O765" s="22" t="str">
        <f t="shared" si="41"/>
        <v/>
      </c>
      <c r="P765" s="19" t="s">
        <v>1136</v>
      </c>
      <c r="Q765" s="375" t="s">
        <v>224</v>
      </c>
      <c r="R765" s="375"/>
      <c r="S765" s="375"/>
      <c r="T765" s="93"/>
      <c r="U765" s="11"/>
      <c r="V765" s="320">
        <v>0</v>
      </c>
      <c r="W765" s="372" t="str">
        <f>IF(OR(G765="Collectors",G765="Special Pricing",G765="Boutique",G765="leafjoy littles",G765="Premium"),
    IF(V765&gt;0,"Show","Hide"),
    IF(V765 &gt;= _xlfn.XLOOKUP(F765,'Min table'!C$3:C$5,),"Show","Hide")
)</f>
        <v>Hide</v>
      </c>
      <c r="X765" s="317" t="s">
        <v>2411</v>
      </c>
      <c r="Y765" s="317" t="s">
        <v>2411</v>
      </c>
    </row>
    <row r="766" spans="3:25" ht="18.75" hidden="1" x14ac:dyDescent="0.3">
      <c r="C766" s="322"/>
      <c r="D766" s="9"/>
      <c r="E766" s="9"/>
      <c r="F766" s="21" t="s">
        <v>75</v>
      </c>
      <c r="G766" s="20" t="s">
        <v>945</v>
      </c>
      <c r="H766" s="377" t="s">
        <v>1137</v>
      </c>
      <c r="I766" s="377"/>
      <c r="J766" s="377" t="s">
        <v>1138</v>
      </c>
      <c r="K766" s="377"/>
      <c r="L766" s="1"/>
      <c r="M766" s="2"/>
      <c r="N766" s="19">
        <v>8.5</v>
      </c>
      <c r="O766" s="22" t="str">
        <f t="shared" si="41"/>
        <v/>
      </c>
      <c r="P766" s="21" t="s">
        <v>349</v>
      </c>
      <c r="Q766" s="375" t="s">
        <v>224</v>
      </c>
      <c r="R766" s="375"/>
      <c r="S766" s="375"/>
      <c r="T766" s="93"/>
      <c r="U766" s="11"/>
      <c r="V766" s="320">
        <v>0</v>
      </c>
      <c r="W766" s="372" t="str">
        <f>IF(OR(G766="Collectors",G766="Special Pricing",G766="Boutique",G766="leafjoy littles",G766="Premium"),
    IF(V766&gt;0,"Show","Hide"),
    IF(V766 &gt;= _xlfn.XLOOKUP(F766,'Min table'!C$3:C$5,),"Show","Hide")
)</f>
        <v>Hide</v>
      </c>
      <c r="X766" s="317" t="s">
        <v>2412</v>
      </c>
      <c r="Y766" s="317" t="s">
        <v>2412</v>
      </c>
    </row>
    <row r="767" spans="3:25" ht="18.75" hidden="1" x14ac:dyDescent="0.3">
      <c r="C767" s="322"/>
      <c r="D767" s="9"/>
      <c r="E767" s="9"/>
      <c r="F767" s="21" t="s">
        <v>75</v>
      </c>
      <c r="G767" s="20" t="s">
        <v>942</v>
      </c>
      <c r="H767" s="377" t="s">
        <v>1139</v>
      </c>
      <c r="I767" s="377"/>
      <c r="J767" s="377" t="s">
        <v>1140</v>
      </c>
      <c r="K767" s="377"/>
      <c r="L767" s="1"/>
      <c r="M767" s="2"/>
      <c r="N767" s="19">
        <v>11.5</v>
      </c>
      <c r="O767" s="22" t="str">
        <f t="shared" si="41"/>
        <v/>
      </c>
      <c r="P767" s="21" t="s">
        <v>231</v>
      </c>
      <c r="Q767" s="375" t="s">
        <v>242</v>
      </c>
      <c r="R767" s="375"/>
      <c r="S767" s="375"/>
      <c r="T767" s="93"/>
      <c r="U767" s="11"/>
      <c r="V767" s="320">
        <v>0</v>
      </c>
      <c r="W767" s="372" t="str">
        <f>IF(OR(G767="Collectors",G767="Special Pricing",G767="Boutique",G767="leafjoy littles",G767="Premium"),
    IF(V767&gt;0,"Show","Hide"),
    IF(V767 &gt;= _xlfn.XLOOKUP(F767,'Min table'!C$3:C$5,),"Show","Hide")
)</f>
        <v>Hide</v>
      </c>
      <c r="X767" s="342" t="s">
        <v>2413</v>
      </c>
      <c r="Y767" s="317" t="s">
        <v>2413</v>
      </c>
    </row>
    <row r="768" spans="3:25" ht="18.75" hidden="1" x14ac:dyDescent="0.3">
      <c r="C768" s="322"/>
      <c r="D768" s="9"/>
      <c r="E768" s="9"/>
      <c r="F768" s="21" t="s">
        <v>75</v>
      </c>
      <c r="G768" s="20" t="s">
        <v>945</v>
      </c>
      <c r="H768" s="377" t="s">
        <v>1141</v>
      </c>
      <c r="I768" s="377"/>
      <c r="J768" s="377" t="s">
        <v>1142</v>
      </c>
      <c r="K768" s="377"/>
      <c r="L768" s="1"/>
      <c r="M768" s="2"/>
      <c r="N768" s="19">
        <v>8.5</v>
      </c>
      <c r="O768" s="22" t="str">
        <f t="shared" si="41"/>
        <v/>
      </c>
      <c r="P768" s="21" t="s">
        <v>349</v>
      </c>
      <c r="Q768" s="375" t="s">
        <v>224</v>
      </c>
      <c r="R768" s="375"/>
      <c r="S768" s="375"/>
      <c r="T768" s="93"/>
      <c r="U768" s="11"/>
      <c r="V768" s="320">
        <v>0</v>
      </c>
      <c r="W768" s="372" t="str">
        <f>IF(OR(G768="Collectors",G768="Special Pricing",G768="Boutique",G768="leafjoy littles",G768="Premium"),
    IF(V768&gt;0,"Show","Hide"),
    IF(V768 &gt;= _xlfn.XLOOKUP(F768,'Min table'!C$3:C$5,),"Show","Hide")
)</f>
        <v>Hide</v>
      </c>
      <c r="X768" s="342" t="s">
        <v>2414</v>
      </c>
      <c r="Y768" s="317" t="s">
        <v>2414</v>
      </c>
    </row>
    <row r="769" spans="3:25" ht="18.75" hidden="1" x14ac:dyDescent="0.3">
      <c r="C769" s="322"/>
      <c r="D769" s="9"/>
      <c r="E769" s="9"/>
      <c r="F769" s="21" t="s">
        <v>75</v>
      </c>
      <c r="G769" s="20" t="s">
        <v>945</v>
      </c>
      <c r="H769" s="377" t="s">
        <v>1143</v>
      </c>
      <c r="I769" s="377"/>
      <c r="J769" s="377" t="s">
        <v>1144</v>
      </c>
      <c r="K769" s="377"/>
      <c r="L769" s="1"/>
      <c r="M769" s="2"/>
      <c r="N769" s="19">
        <v>8.5</v>
      </c>
      <c r="O769" s="22" t="str">
        <f t="shared" si="41"/>
        <v/>
      </c>
      <c r="P769" s="21" t="s">
        <v>1145</v>
      </c>
      <c r="Q769" s="375" t="s">
        <v>224</v>
      </c>
      <c r="R769" s="375"/>
      <c r="S769" s="375"/>
      <c r="T769" s="93"/>
      <c r="U769" s="11"/>
      <c r="V769" s="320">
        <v>0</v>
      </c>
      <c r="W769" s="372" t="str">
        <f>IF(OR(G769="Collectors",G769="Special Pricing",G769="Boutique",G769="leafjoy littles",G769="Premium"),
    IF(V769&gt;0,"Show","Hide"),
    IF(V769 &gt;= _xlfn.XLOOKUP(F769,'Min table'!C$3:C$5,),"Show","Hide")
)</f>
        <v>Hide</v>
      </c>
      <c r="X769" s="317" t="s">
        <v>2415</v>
      </c>
      <c r="Y769" s="317" t="s">
        <v>2415</v>
      </c>
    </row>
    <row r="770" spans="3:25" ht="18.75" hidden="1" x14ac:dyDescent="0.3">
      <c r="C770" s="322"/>
      <c r="D770" s="9"/>
      <c r="E770" s="9"/>
      <c r="F770" s="21" t="s">
        <v>75</v>
      </c>
      <c r="G770" s="20" t="s">
        <v>942</v>
      </c>
      <c r="H770" s="377" t="s">
        <v>1146</v>
      </c>
      <c r="I770" s="377"/>
      <c r="J770" s="377" t="s">
        <v>1147</v>
      </c>
      <c r="K770" s="377"/>
      <c r="L770" s="1"/>
      <c r="M770" s="2"/>
      <c r="N770" s="19">
        <v>11.5</v>
      </c>
      <c r="O770" s="22" t="str">
        <f t="shared" si="41"/>
        <v/>
      </c>
      <c r="P770" s="21" t="s">
        <v>448</v>
      </c>
      <c r="Q770" s="375" t="s">
        <v>242</v>
      </c>
      <c r="R770" s="375"/>
      <c r="S770" s="375"/>
      <c r="T770" s="93"/>
      <c r="U770" s="11"/>
      <c r="V770" s="320">
        <v>0</v>
      </c>
      <c r="W770" s="372" t="str">
        <f>IF(OR(G770="Collectors",G770="Special Pricing",G770="Boutique",G770="leafjoy littles",G770="Premium"),
    IF(V770&gt;0,"Show","Hide"),
    IF(V770 &gt;= _xlfn.XLOOKUP(F770,'Min table'!C$3:C$5,),"Show","Hide")
)</f>
        <v>Hide</v>
      </c>
      <c r="X770" s="317" t="s">
        <v>2416</v>
      </c>
      <c r="Y770" s="317" t="s">
        <v>2416</v>
      </c>
    </row>
    <row r="771" spans="3:25" ht="18.75" hidden="1" x14ac:dyDescent="0.3">
      <c r="C771" s="322"/>
      <c r="D771" s="9"/>
      <c r="E771" s="9"/>
      <c r="F771" s="21" t="s">
        <v>75</v>
      </c>
      <c r="G771" s="20" t="s">
        <v>942</v>
      </c>
      <c r="H771" s="377" t="s">
        <v>1148</v>
      </c>
      <c r="I771" s="377"/>
      <c r="J771" s="377" t="s">
        <v>1149</v>
      </c>
      <c r="K771" s="377"/>
      <c r="L771" s="1"/>
      <c r="M771" s="2"/>
      <c r="N771" s="19">
        <v>11.5</v>
      </c>
      <c r="O771" s="22" t="str">
        <f t="shared" si="41"/>
        <v/>
      </c>
      <c r="P771" s="21" t="s">
        <v>448</v>
      </c>
      <c r="Q771" s="375" t="s">
        <v>242</v>
      </c>
      <c r="R771" s="375"/>
      <c r="S771" s="375"/>
      <c r="T771" s="93"/>
      <c r="U771" s="11"/>
      <c r="V771" s="320">
        <v>0</v>
      </c>
      <c r="W771" s="372" t="str">
        <f>IF(OR(G771="Collectors",G771="Special Pricing",G771="Boutique",G771="leafjoy littles",G771="Premium"),
    IF(V771&gt;0,"Show","Hide"),
    IF(V771 &gt;= _xlfn.XLOOKUP(F771,'Min table'!C$3:C$5,),"Show","Hide")
)</f>
        <v>Hide</v>
      </c>
      <c r="X771" s="317" t="s">
        <v>2417</v>
      </c>
      <c r="Y771" s="317" t="s">
        <v>2417</v>
      </c>
    </row>
    <row r="772" spans="3:25" ht="18.75" hidden="1" x14ac:dyDescent="0.3">
      <c r="C772" s="322"/>
      <c r="D772" s="9"/>
      <c r="E772" s="9"/>
      <c r="F772" s="21" t="s">
        <v>75</v>
      </c>
      <c r="G772" s="20" t="s">
        <v>991</v>
      </c>
      <c r="H772" s="377" t="s">
        <v>1150</v>
      </c>
      <c r="I772" s="377"/>
      <c r="J772" s="377" t="s">
        <v>1151</v>
      </c>
      <c r="K772" s="377"/>
      <c r="L772" s="1"/>
      <c r="M772" s="2"/>
      <c r="N772" s="19">
        <v>20</v>
      </c>
      <c r="O772" s="22" t="str">
        <f t="shared" si="41"/>
        <v/>
      </c>
      <c r="P772" s="21" t="s">
        <v>448</v>
      </c>
      <c r="Q772" s="375" t="s">
        <v>341</v>
      </c>
      <c r="R772" s="375"/>
      <c r="S772" s="375"/>
      <c r="T772" s="106"/>
      <c r="U772" s="11"/>
      <c r="V772" s="320">
        <v>5</v>
      </c>
      <c r="W772" s="372" t="str">
        <f>IF(OR(G772="Collectors",G772="Special Pricing",G772="Boutique",G772="leafjoy littles",G772="Premium"),
    IF(V772&gt;0,"Show","Hide"),
    IF(V772 &gt;= _xlfn.XLOOKUP(F772,'Min table'!C$3:C$5,),"Show","Hide")
)</f>
        <v>Show</v>
      </c>
      <c r="X772" s="317" t="s">
        <v>2418</v>
      </c>
      <c r="Y772" s="317" t="s">
        <v>2418</v>
      </c>
    </row>
    <row r="773" spans="3:25" ht="18.75" hidden="1" x14ac:dyDescent="0.3">
      <c r="C773" s="322"/>
      <c r="D773" s="9"/>
      <c r="E773" s="9"/>
      <c r="F773" s="21" t="s">
        <v>75</v>
      </c>
      <c r="G773" s="20" t="s">
        <v>942</v>
      </c>
      <c r="H773" s="377" t="s">
        <v>1152</v>
      </c>
      <c r="I773" s="377"/>
      <c r="J773" s="377" t="s">
        <v>1153</v>
      </c>
      <c r="K773" s="377"/>
      <c r="L773" s="1"/>
      <c r="M773" s="2"/>
      <c r="N773" s="19">
        <v>11.5</v>
      </c>
      <c r="O773" s="22" t="str">
        <f t="shared" si="41"/>
        <v/>
      </c>
      <c r="P773" s="21" t="s">
        <v>448</v>
      </c>
      <c r="Q773" s="375" t="s">
        <v>242</v>
      </c>
      <c r="R773" s="375"/>
      <c r="S773" s="375"/>
      <c r="T773" s="93"/>
      <c r="U773" s="11"/>
      <c r="V773" s="320">
        <v>0</v>
      </c>
      <c r="W773" s="372" t="str">
        <f>IF(OR(G773="Collectors",G773="Special Pricing",G773="Boutique",G773="leafjoy littles",G773="Premium"),
    IF(V773&gt;0,"Show","Hide"),
    IF(V773 &gt;= _xlfn.XLOOKUP(F773,'Min table'!C$3:C$5,),"Show","Hide")
)</f>
        <v>Hide</v>
      </c>
      <c r="X773" s="317" t="s">
        <v>2419</v>
      </c>
      <c r="Y773" s="317" t="s">
        <v>2419</v>
      </c>
    </row>
    <row r="774" spans="3:25" ht="18.75" hidden="1" x14ac:dyDescent="0.3">
      <c r="C774" s="322"/>
      <c r="D774" s="9"/>
      <c r="E774" s="9"/>
      <c r="F774" s="21" t="s">
        <v>75</v>
      </c>
      <c r="G774" s="20" t="s">
        <v>942</v>
      </c>
      <c r="H774" s="377" t="s">
        <v>1154</v>
      </c>
      <c r="I774" s="377"/>
      <c r="J774" s="377" t="s">
        <v>1155</v>
      </c>
      <c r="K774" s="377"/>
      <c r="L774" s="1"/>
      <c r="M774" s="2"/>
      <c r="N774" s="19">
        <v>11.5</v>
      </c>
      <c r="O774" s="22" t="str">
        <f t="shared" si="41"/>
        <v/>
      </c>
      <c r="P774" s="21" t="s">
        <v>448</v>
      </c>
      <c r="Q774" s="375" t="s">
        <v>242</v>
      </c>
      <c r="R774" s="375"/>
      <c r="S774" s="375"/>
      <c r="T774" s="93"/>
      <c r="U774" s="11"/>
      <c r="V774" s="320">
        <v>0</v>
      </c>
      <c r="W774" s="372" t="str">
        <f>IF(OR(G774="Collectors",G774="Special Pricing",G774="Boutique",G774="leafjoy littles",G774="Premium"),
    IF(V774&gt;0,"Show","Hide"),
    IF(V774 &gt;= _xlfn.XLOOKUP(F774,'Min table'!C$3:C$5,),"Show","Hide")
)</f>
        <v>Hide</v>
      </c>
      <c r="X774" s="317" t="s">
        <v>2420</v>
      </c>
      <c r="Y774" s="317" t="s">
        <v>2420</v>
      </c>
    </row>
    <row r="775" spans="3:25" ht="18.75" hidden="1" x14ac:dyDescent="0.3">
      <c r="C775" s="322"/>
      <c r="D775" s="9"/>
      <c r="E775" s="9"/>
      <c r="F775" s="21" t="s">
        <v>75</v>
      </c>
      <c r="G775" s="20" t="s">
        <v>991</v>
      </c>
      <c r="H775" s="377" t="s">
        <v>1156</v>
      </c>
      <c r="I775" s="377"/>
      <c r="J775" s="377" t="s">
        <v>1157</v>
      </c>
      <c r="K775" s="377"/>
      <c r="L775" s="1"/>
      <c r="M775" s="2"/>
      <c r="N775" s="19">
        <v>20</v>
      </c>
      <c r="O775" s="22" t="str">
        <f t="shared" si="41"/>
        <v/>
      </c>
      <c r="P775" s="21" t="s">
        <v>448</v>
      </c>
      <c r="Q775" s="375" t="s">
        <v>341</v>
      </c>
      <c r="R775" s="375"/>
      <c r="S775" s="375"/>
      <c r="T775" s="93"/>
      <c r="U775" s="11"/>
      <c r="V775" s="320">
        <v>0</v>
      </c>
      <c r="W775" s="372" t="str">
        <f>IF(OR(G775="Collectors",G775="Special Pricing",G775="Boutique",G775="leafjoy littles",G775="Premium"),
    IF(V775&gt;0,"Show","Hide"),
    IF(V775 &gt;= _xlfn.XLOOKUP(F775,'Min table'!C$3:C$5,),"Show","Hide")
)</f>
        <v>Hide</v>
      </c>
      <c r="X775" s="317" t="s">
        <v>2421</v>
      </c>
      <c r="Y775" s="317" t="s">
        <v>2421</v>
      </c>
    </row>
    <row r="776" spans="3:25" ht="18.75" x14ac:dyDescent="0.3">
      <c r="C776" s="322"/>
      <c r="D776" s="9"/>
      <c r="E776" s="9"/>
      <c r="F776" s="21" t="s">
        <v>75</v>
      </c>
      <c r="G776" s="20" t="s">
        <v>942</v>
      </c>
      <c r="H776" s="376" t="s">
        <v>2801</v>
      </c>
      <c r="I776" s="376"/>
      <c r="J776" s="376"/>
      <c r="K776" s="376"/>
      <c r="L776" s="1"/>
      <c r="M776" s="2"/>
      <c r="N776" s="19">
        <v>11.5</v>
      </c>
      <c r="O776" s="22" t="str">
        <f t="shared" si="41"/>
        <v/>
      </c>
      <c r="P776" s="21" t="s">
        <v>448</v>
      </c>
      <c r="Q776" s="375" t="s">
        <v>242</v>
      </c>
      <c r="R776" s="375"/>
      <c r="S776" s="375"/>
      <c r="T776" s="93"/>
      <c r="U776" s="11"/>
      <c r="V776" s="320">
        <v>15</v>
      </c>
      <c r="W776" s="372" t="str">
        <f>IF(OR(G776="Collectors",G776="Special Pricing",G776="Boutique",G776="leafjoy littles",G776="Premium"),
    IF(V776&gt;0,"Show","Hide"),
    IF(V776 &gt;= _xlfn.XLOOKUP(F776,'Min table'!C$3:C$5,),"Show","Hide")
)</f>
        <v>Show</v>
      </c>
      <c r="X776" s="317" t="s">
        <v>2422</v>
      </c>
      <c r="Y776" s="317" t="s">
        <v>2422</v>
      </c>
    </row>
    <row r="777" spans="3:25" ht="18.75" hidden="1" x14ac:dyDescent="0.3">
      <c r="C777" s="322"/>
      <c r="D777" s="9"/>
      <c r="E777" s="9"/>
      <c r="F777" s="21" t="s">
        <v>75</v>
      </c>
      <c r="G777" s="20" t="s">
        <v>991</v>
      </c>
      <c r="H777" s="377" t="s">
        <v>1158</v>
      </c>
      <c r="I777" s="377"/>
      <c r="J777" s="377" t="s">
        <v>1159</v>
      </c>
      <c r="K777" s="377"/>
      <c r="L777" s="1"/>
      <c r="M777" s="2"/>
      <c r="N777" s="19">
        <v>20</v>
      </c>
      <c r="O777" s="22" t="str">
        <f t="shared" si="41"/>
        <v/>
      </c>
      <c r="P777" s="21" t="s">
        <v>448</v>
      </c>
      <c r="Q777" s="375" t="s">
        <v>341</v>
      </c>
      <c r="R777" s="375"/>
      <c r="S777" s="375"/>
      <c r="T777" s="93"/>
      <c r="U777" s="11"/>
      <c r="V777" s="320">
        <v>0</v>
      </c>
      <c r="W777" s="372" t="str">
        <f>IF(OR(G777="Collectors",G777="Special Pricing",G777="Boutique",G777="leafjoy littles",G777="Premium"),
    IF(V777&gt;0,"Show","Hide"),
    IF(V777 &gt;= _xlfn.XLOOKUP(F777,'Min table'!C$3:C$5,),"Show","Hide")
)</f>
        <v>Hide</v>
      </c>
      <c r="X777" s="317" t="s">
        <v>2423</v>
      </c>
      <c r="Y777" s="317" t="s">
        <v>2423</v>
      </c>
    </row>
    <row r="778" spans="3:25" ht="18.75" hidden="1" x14ac:dyDescent="0.3">
      <c r="C778" s="322"/>
      <c r="D778" s="9"/>
      <c r="E778" s="9"/>
      <c r="F778" s="21" t="s">
        <v>75</v>
      </c>
      <c r="G778" s="20" t="s">
        <v>991</v>
      </c>
      <c r="H778" s="377" t="s">
        <v>1160</v>
      </c>
      <c r="I778" s="377"/>
      <c r="J778" s="377" t="s">
        <v>1161</v>
      </c>
      <c r="K778" s="377"/>
      <c r="L778" s="1"/>
      <c r="M778" s="2"/>
      <c r="N778" s="19">
        <v>20</v>
      </c>
      <c r="O778" s="22" t="str">
        <f t="shared" si="41"/>
        <v/>
      </c>
      <c r="P778" s="21" t="s">
        <v>448</v>
      </c>
      <c r="Q778" s="375" t="s">
        <v>341</v>
      </c>
      <c r="R778" s="375"/>
      <c r="S778" s="375"/>
      <c r="T778" s="93"/>
      <c r="U778" s="11"/>
      <c r="V778" s="320">
        <v>0</v>
      </c>
      <c r="W778" s="372" t="str">
        <f>IF(OR(G778="Collectors",G778="Special Pricing",G778="Boutique",G778="leafjoy littles",G778="Premium"),
    IF(V778&gt;0,"Show","Hide"),
    IF(V778 &gt;= _xlfn.XLOOKUP(F778,'Min table'!C$3:C$5,),"Show","Hide")
)</f>
        <v>Hide</v>
      </c>
      <c r="X778" s="342" t="s">
        <v>2424</v>
      </c>
      <c r="Y778" s="317" t="s">
        <v>2424</v>
      </c>
    </row>
    <row r="779" spans="3:25" ht="18.75" hidden="1" x14ac:dyDescent="0.3">
      <c r="C779" s="322"/>
      <c r="D779" s="9"/>
      <c r="E779" s="9"/>
      <c r="F779" s="21" t="s">
        <v>75</v>
      </c>
      <c r="G779" s="20" t="s">
        <v>945</v>
      </c>
      <c r="H779" s="377" t="s">
        <v>1162</v>
      </c>
      <c r="I779" s="377"/>
      <c r="J779" s="377" t="s">
        <v>1163</v>
      </c>
      <c r="K779" s="377"/>
      <c r="L779" s="1"/>
      <c r="M779" s="2"/>
      <c r="N779" s="19">
        <v>8.5</v>
      </c>
      <c r="O779" s="22" t="str">
        <f t="shared" si="41"/>
        <v/>
      </c>
      <c r="P779" s="19" t="s">
        <v>448</v>
      </c>
      <c r="Q779" s="375" t="s">
        <v>224</v>
      </c>
      <c r="R779" s="375"/>
      <c r="S779" s="375"/>
      <c r="T779" s="93"/>
      <c r="U779" s="11"/>
      <c r="V779" s="320">
        <v>0</v>
      </c>
      <c r="W779" s="372" t="str">
        <f>IF(OR(G779="Collectors",G779="Special Pricing",G779="Boutique",G779="leafjoy littles",G779="Premium"),
    IF(V779&gt;0,"Show","Hide"),
    IF(V779 &gt;= _xlfn.XLOOKUP(F779,'Min table'!C$3:C$5,),"Show","Hide")
)</f>
        <v>Hide</v>
      </c>
      <c r="X779" s="342" t="s">
        <v>2425</v>
      </c>
      <c r="Y779" s="317" t="s">
        <v>2425</v>
      </c>
    </row>
    <row r="780" spans="3:25" ht="18.75" hidden="1" x14ac:dyDescent="0.3">
      <c r="C780" s="322"/>
      <c r="D780" s="9"/>
      <c r="E780" s="9"/>
      <c r="F780" s="21" t="s">
        <v>75</v>
      </c>
      <c r="G780" s="20" t="s">
        <v>945</v>
      </c>
      <c r="H780" s="377" t="s">
        <v>1164</v>
      </c>
      <c r="I780" s="377"/>
      <c r="J780" s="377" t="s">
        <v>1165</v>
      </c>
      <c r="K780" s="377"/>
      <c r="L780" s="1"/>
      <c r="M780" s="2"/>
      <c r="N780" s="19">
        <v>8.5</v>
      </c>
      <c r="O780" s="22" t="str">
        <f t="shared" si="41"/>
        <v/>
      </c>
      <c r="P780" s="19" t="s">
        <v>448</v>
      </c>
      <c r="Q780" s="375" t="s">
        <v>224</v>
      </c>
      <c r="R780" s="375"/>
      <c r="S780" s="375"/>
      <c r="T780" s="93"/>
      <c r="U780" s="11"/>
      <c r="V780" s="320">
        <v>9</v>
      </c>
      <c r="W780" s="372" t="str">
        <f>IF(OR(G780="Collectors",G780="Special Pricing",G780="Boutique",G780="leafjoy littles",G780="Premium"),
    IF(V780&gt;0,"Show","Hide"),
    IF(V780 &gt;= _xlfn.XLOOKUP(F780,'Min table'!C$3:C$5,),"Show","Hide")
)</f>
        <v>Show</v>
      </c>
      <c r="X780" s="317" t="s">
        <v>2426</v>
      </c>
      <c r="Y780" s="317" t="s">
        <v>2426</v>
      </c>
    </row>
    <row r="781" spans="3:25" ht="18.75" hidden="1" x14ac:dyDescent="0.3">
      <c r="C781" s="322"/>
      <c r="D781" s="9"/>
      <c r="E781" s="9"/>
      <c r="F781" s="21" t="s">
        <v>75</v>
      </c>
      <c r="G781" s="20" t="s">
        <v>942</v>
      </c>
      <c r="H781" s="377" t="s">
        <v>1166</v>
      </c>
      <c r="I781" s="377"/>
      <c r="J781" s="377" t="s">
        <v>1167</v>
      </c>
      <c r="K781" s="377"/>
      <c r="L781" s="1"/>
      <c r="M781" s="2"/>
      <c r="N781" s="19">
        <v>11.5</v>
      </c>
      <c r="O781" s="22" t="str">
        <f t="shared" si="41"/>
        <v/>
      </c>
      <c r="P781" s="21" t="s">
        <v>448</v>
      </c>
      <c r="Q781" s="375" t="s">
        <v>242</v>
      </c>
      <c r="R781" s="375"/>
      <c r="S781" s="375"/>
      <c r="T781" s="93"/>
      <c r="U781" s="11"/>
      <c r="V781" s="320">
        <v>0</v>
      </c>
      <c r="W781" s="372" t="str">
        <f>IF(OR(G781="Collectors",G781="Special Pricing",G781="Boutique",G781="leafjoy littles",G781="Premium"),
    IF(V781&gt;0,"Show","Hide"),
    IF(V781 &gt;= _xlfn.XLOOKUP(F781,'Min table'!C$3:C$5,),"Show","Hide")
)</f>
        <v>Hide</v>
      </c>
      <c r="X781" s="317" t="s">
        <v>2427</v>
      </c>
      <c r="Y781" s="317" t="s">
        <v>2427</v>
      </c>
    </row>
    <row r="782" spans="3:25" ht="18.75" hidden="1" x14ac:dyDescent="0.3">
      <c r="C782" s="322"/>
      <c r="D782" s="9"/>
      <c r="E782" s="9"/>
      <c r="F782" s="21" t="s">
        <v>75</v>
      </c>
      <c r="G782" s="20" t="s">
        <v>942</v>
      </c>
      <c r="H782" s="377" t="s">
        <v>1168</v>
      </c>
      <c r="I782" s="377"/>
      <c r="J782" s="377" t="s">
        <v>1169</v>
      </c>
      <c r="K782" s="377"/>
      <c r="L782" s="1"/>
      <c r="M782" s="2"/>
      <c r="N782" s="19">
        <v>11.5</v>
      </c>
      <c r="O782" s="22" t="str">
        <f t="shared" si="41"/>
        <v/>
      </c>
      <c r="P782" s="21" t="s">
        <v>448</v>
      </c>
      <c r="Q782" s="375" t="s">
        <v>242</v>
      </c>
      <c r="R782" s="375"/>
      <c r="S782" s="375"/>
      <c r="T782" s="93"/>
      <c r="U782" s="11"/>
      <c r="V782" s="320">
        <v>0</v>
      </c>
      <c r="W782" s="372" t="str">
        <f>IF(OR(G782="Collectors",G782="Special Pricing",G782="Boutique",G782="leafjoy littles",G782="Premium"),
    IF(V782&gt;0,"Show","Hide"),
    IF(V782 &gt;= _xlfn.XLOOKUP(F782,'Min table'!C$3:C$5,),"Show","Hide")
)</f>
        <v>Hide</v>
      </c>
      <c r="X782" s="317" t="s">
        <v>2428</v>
      </c>
      <c r="Y782" s="317" t="s">
        <v>2428</v>
      </c>
    </row>
    <row r="783" spans="3:25" ht="18.75" hidden="1" x14ac:dyDescent="0.3">
      <c r="C783" s="322"/>
      <c r="D783" s="9"/>
      <c r="E783" s="9"/>
      <c r="F783" s="21" t="s">
        <v>75</v>
      </c>
      <c r="G783" s="20" t="s">
        <v>942</v>
      </c>
      <c r="H783" s="377" t="s">
        <v>1170</v>
      </c>
      <c r="I783" s="377"/>
      <c r="J783" s="377" t="s">
        <v>447</v>
      </c>
      <c r="K783" s="377"/>
      <c r="L783" s="1"/>
      <c r="M783" s="2"/>
      <c r="N783" s="19">
        <v>11.5</v>
      </c>
      <c r="O783" s="22" t="str">
        <f t="shared" si="41"/>
        <v/>
      </c>
      <c r="P783" s="19" t="s">
        <v>448</v>
      </c>
      <c r="Q783" s="375" t="s">
        <v>242</v>
      </c>
      <c r="R783" s="375"/>
      <c r="S783" s="375"/>
      <c r="T783" s="93"/>
      <c r="U783" s="11"/>
      <c r="V783" s="320">
        <v>0</v>
      </c>
      <c r="W783" s="372" t="str">
        <f>IF(OR(G783="Collectors",G783="Special Pricing",G783="Boutique",G783="leafjoy littles",G783="Premium"),
    IF(V783&gt;0,"Show","Hide"),
    IF(V783 &gt;= _xlfn.XLOOKUP(F783,'Min table'!C$3:C$5,),"Show","Hide")
)</f>
        <v>Hide</v>
      </c>
      <c r="X783" s="317" t="s">
        <v>2429</v>
      </c>
      <c r="Y783" s="317" t="s">
        <v>2429</v>
      </c>
    </row>
    <row r="784" spans="3:25" ht="18.75" hidden="1" x14ac:dyDescent="0.3">
      <c r="C784" s="322"/>
      <c r="D784" s="9"/>
      <c r="E784" s="9"/>
      <c r="F784" s="21" t="s">
        <v>75</v>
      </c>
      <c r="G784" s="20" t="s">
        <v>991</v>
      </c>
      <c r="H784" s="377" t="s">
        <v>1171</v>
      </c>
      <c r="I784" s="377"/>
      <c r="J784" s="377" t="s">
        <v>1172</v>
      </c>
      <c r="K784" s="377"/>
      <c r="L784" s="1"/>
      <c r="M784" s="2"/>
      <c r="N784" s="19">
        <v>20</v>
      </c>
      <c r="O784" s="22" t="str">
        <f t="shared" si="41"/>
        <v/>
      </c>
      <c r="P784" s="19" t="s">
        <v>448</v>
      </c>
      <c r="Q784" s="375" t="s">
        <v>341</v>
      </c>
      <c r="R784" s="375"/>
      <c r="S784" s="375"/>
      <c r="T784" s="93"/>
      <c r="U784" s="11"/>
      <c r="V784" s="320">
        <v>0</v>
      </c>
      <c r="W784" s="372" t="str">
        <f>IF(OR(G784="Collectors",G784="Special Pricing",G784="Boutique",G784="leafjoy littles",G784="Premium"),
    IF(V784&gt;0,"Show","Hide"),
    IF(V784 &gt;= _xlfn.XLOOKUP(F784,'Min table'!C$3:C$5,),"Show","Hide")
)</f>
        <v>Hide</v>
      </c>
      <c r="X784" s="317" t="s">
        <v>2430</v>
      </c>
      <c r="Y784" s="317" t="s">
        <v>2430</v>
      </c>
    </row>
    <row r="785" spans="3:25" ht="18.75" hidden="1" x14ac:dyDescent="0.3">
      <c r="C785" s="322"/>
      <c r="D785" s="9"/>
      <c r="E785" s="9"/>
      <c r="F785" s="21" t="s">
        <v>75</v>
      </c>
      <c r="G785" s="20" t="s">
        <v>942</v>
      </c>
      <c r="H785" s="377" t="s">
        <v>1173</v>
      </c>
      <c r="I785" s="377"/>
      <c r="J785" s="377" t="s">
        <v>1174</v>
      </c>
      <c r="K785" s="377"/>
      <c r="L785" s="1"/>
      <c r="M785" s="2"/>
      <c r="N785" s="19">
        <v>11.5</v>
      </c>
      <c r="O785" s="22" t="str">
        <f t="shared" si="41"/>
        <v/>
      </c>
      <c r="P785" s="19" t="s">
        <v>448</v>
      </c>
      <c r="Q785" s="375" t="s">
        <v>242</v>
      </c>
      <c r="R785" s="375"/>
      <c r="S785" s="375"/>
      <c r="T785" s="93"/>
      <c r="U785" s="11"/>
      <c r="V785" s="320">
        <v>0</v>
      </c>
      <c r="W785" s="372" t="str">
        <f>IF(OR(G785="Collectors",G785="Special Pricing",G785="Boutique",G785="leafjoy littles",G785="Premium"),
    IF(V785&gt;0,"Show","Hide"),
    IF(V785 &gt;= _xlfn.XLOOKUP(F785,'Min table'!C$3:C$5,),"Show","Hide")
)</f>
        <v>Hide</v>
      </c>
      <c r="X785" s="342" t="s">
        <v>2431</v>
      </c>
      <c r="Y785" s="317" t="s">
        <v>2431</v>
      </c>
    </row>
    <row r="786" spans="3:25" ht="18.75" hidden="1" x14ac:dyDescent="0.3">
      <c r="C786" s="322"/>
      <c r="D786" s="9"/>
      <c r="E786" s="9"/>
      <c r="F786" s="21" t="s">
        <v>75</v>
      </c>
      <c r="G786" s="20" t="s">
        <v>991</v>
      </c>
      <c r="H786" s="377" t="s">
        <v>1175</v>
      </c>
      <c r="I786" s="377"/>
      <c r="J786" s="377" t="s">
        <v>1176</v>
      </c>
      <c r="K786" s="377"/>
      <c r="L786" s="1"/>
      <c r="M786" s="2"/>
      <c r="N786" s="19">
        <v>20</v>
      </c>
      <c r="O786" s="22" t="str">
        <f t="shared" si="41"/>
        <v/>
      </c>
      <c r="P786" s="19" t="s">
        <v>448</v>
      </c>
      <c r="Q786" s="375" t="s">
        <v>341</v>
      </c>
      <c r="R786" s="375"/>
      <c r="S786" s="375"/>
      <c r="T786" s="93"/>
      <c r="U786" s="11"/>
      <c r="V786" s="320">
        <v>0</v>
      </c>
      <c r="W786" s="372" t="str">
        <f>IF(OR(G786="Collectors",G786="Special Pricing",G786="Boutique",G786="leafjoy littles",G786="Premium"),
    IF(V786&gt;0,"Show","Hide"),
    IF(V786 &gt;= _xlfn.XLOOKUP(F786,'Min table'!C$3:C$5,),"Show","Hide")
)</f>
        <v>Hide</v>
      </c>
      <c r="X786" s="317" t="s">
        <v>2432</v>
      </c>
      <c r="Y786" s="317" t="s">
        <v>2432</v>
      </c>
    </row>
    <row r="787" spans="3:25" ht="18.75" hidden="1" x14ac:dyDescent="0.3">
      <c r="C787" s="322"/>
      <c r="D787" s="9"/>
      <c r="E787" s="9"/>
      <c r="F787" s="21" t="s">
        <v>75</v>
      </c>
      <c r="G787" s="20" t="s">
        <v>991</v>
      </c>
      <c r="H787" s="377" t="s">
        <v>1177</v>
      </c>
      <c r="I787" s="377"/>
      <c r="J787" s="377" t="s">
        <v>1178</v>
      </c>
      <c r="K787" s="377"/>
      <c r="L787" s="1"/>
      <c r="M787" s="2"/>
      <c r="N787" s="19">
        <v>20</v>
      </c>
      <c r="O787" s="22" t="str">
        <f t="shared" si="41"/>
        <v/>
      </c>
      <c r="P787" s="19" t="s">
        <v>448</v>
      </c>
      <c r="Q787" s="375" t="s">
        <v>341</v>
      </c>
      <c r="R787" s="375"/>
      <c r="S787" s="375"/>
      <c r="T787" s="93"/>
      <c r="U787" s="11"/>
      <c r="V787" s="320">
        <v>0</v>
      </c>
      <c r="W787" s="372" t="str">
        <f>IF(OR(G787="Collectors",G787="Special Pricing",G787="Boutique",G787="leafjoy littles",G787="Premium"),
    IF(V787&gt;0,"Show","Hide"),
    IF(V787 &gt;= _xlfn.XLOOKUP(F787,'Min table'!C$3:C$5,),"Show","Hide")
)</f>
        <v>Hide</v>
      </c>
      <c r="X787" s="317" t="s">
        <v>2433</v>
      </c>
      <c r="Y787" s="317" t="s">
        <v>2433</v>
      </c>
    </row>
    <row r="788" spans="3:25" ht="18.75" hidden="1" x14ac:dyDescent="0.3">
      <c r="C788" s="322"/>
      <c r="D788" s="9"/>
      <c r="E788" s="9"/>
      <c r="F788" s="21" t="s">
        <v>75</v>
      </c>
      <c r="G788" s="20" t="s">
        <v>991</v>
      </c>
      <c r="H788" s="377" t="s">
        <v>1179</v>
      </c>
      <c r="I788" s="377"/>
      <c r="J788" s="377" t="s">
        <v>1180</v>
      </c>
      <c r="K788" s="377"/>
      <c r="L788" s="1"/>
      <c r="M788" s="2"/>
      <c r="N788" s="19">
        <v>20</v>
      </c>
      <c r="O788" s="22" t="str">
        <f t="shared" si="41"/>
        <v/>
      </c>
      <c r="P788" s="19" t="s">
        <v>448</v>
      </c>
      <c r="Q788" s="375" t="s">
        <v>341</v>
      </c>
      <c r="R788" s="375"/>
      <c r="S788" s="375"/>
      <c r="T788" s="93"/>
      <c r="U788" s="11"/>
      <c r="V788" s="320">
        <v>0</v>
      </c>
      <c r="W788" s="372" t="str">
        <f>IF(OR(G788="Collectors",G788="Special Pricing",G788="Boutique",G788="leafjoy littles",G788="Premium"),
    IF(V788&gt;0,"Show","Hide"),
    IF(V788 &gt;= _xlfn.XLOOKUP(F788,'Min table'!C$3:C$5,),"Show","Hide")
)</f>
        <v>Hide</v>
      </c>
      <c r="X788" s="317" t="s">
        <v>2434</v>
      </c>
      <c r="Y788" s="317" t="s">
        <v>2434</v>
      </c>
    </row>
    <row r="789" spans="3:25" ht="18.75" hidden="1" x14ac:dyDescent="0.3">
      <c r="C789" s="322"/>
      <c r="D789" s="9"/>
      <c r="E789" s="9"/>
      <c r="F789" s="21" t="s">
        <v>75</v>
      </c>
      <c r="G789" s="20" t="s">
        <v>945</v>
      </c>
      <c r="H789" s="377" t="s">
        <v>1181</v>
      </c>
      <c r="I789" s="377"/>
      <c r="J789" s="377" t="s">
        <v>1182</v>
      </c>
      <c r="K789" s="377"/>
      <c r="L789" s="1"/>
      <c r="M789" s="2"/>
      <c r="N789" s="19">
        <v>8.5</v>
      </c>
      <c r="O789" s="22" t="str">
        <f t="shared" si="41"/>
        <v/>
      </c>
      <c r="P789" s="19" t="s">
        <v>448</v>
      </c>
      <c r="Q789" s="375" t="s">
        <v>224</v>
      </c>
      <c r="R789" s="375"/>
      <c r="S789" s="375"/>
      <c r="T789" s="93"/>
      <c r="U789" s="11"/>
      <c r="V789" s="320">
        <v>0</v>
      </c>
      <c r="W789" s="372" t="str">
        <f>IF(OR(G789="Collectors",G789="Special Pricing",G789="Boutique",G789="leafjoy littles",G789="Premium"),
    IF(V789&gt;0,"Show","Hide"),
    IF(V789 &gt;= _xlfn.XLOOKUP(F789,'Min table'!C$3:C$5,),"Show","Hide")
)</f>
        <v>Hide</v>
      </c>
      <c r="X789" s="317" t="s">
        <v>2435</v>
      </c>
      <c r="Y789" s="317" t="s">
        <v>2435</v>
      </c>
    </row>
    <row r="790" spans="3:25" ht="18.75" hidden="1" x14ac:dyDescent="0.3">
      <c r="C790" s="322"/>
      <c r="D790" s="9"/>
      <c r="E790" s="9"/>
      <c r="F790" s="21" t="s">
        <v>75</v>
      </c>
      <c r="G790" s="20" t="s">
        <v>991</v>
      </c>
      <c r="H790" s="377" t="s">
        <v>1183</v>
      </c>
      <c r="I790" s="377"/>
      <c r="J790" s="377" t="s">
        <v>1184</v>
      </c>
      <c r="K790" s="377"/>
      <c r="L790" s="1"/>
      <c r="M790" s="2"/>
      <c r="N790" s="19">
        <v>20</v>
      </c>
      <c r="O790" s="22" t="str">
        <f t="shared" si="41"/>
        <v/>
      </c>
      <c r="P790" s="19" t="s">
        <v>1185</v>
      </c>
      <c r="Q790" s="375" t="s">
        <v>341</v>
      </c>
      <c r="R790" s="375"/>
      <c r="S790" s="375"/>
      <c r="T790" s="93"/>
      <c r="U790" s="11"/>
      <c r="V790" s="320">
        <v>0</v>
      </c>
      <c r="W790" s="372" t="str">
        <f>IF(OR(G790="Collectors",G790="Special Pricing",G790="Boutique",G790="leafjoy littles",G790="Premium"),
    IF(V790&gt;0,"Show","Hide"),
    IF(V790 &gt;= _xlfn.XLOOKUP(F790,'Min table'!C$3:C$5,),"Show","Hide")
)</f>
        <v>Hide</v>
      </c>
      <c r="X790" s="317" t="s">
        <v>2436</v>
      </c>
      <c r="Y790" s="317" t="s">
        <v>2436</v>
      </c>
    </row>
    <row r="791" spans="3:25" ht="18.75" hidden="1" x14ac:dyDescent="0.3">
      <c r="C791" s="322"/>
      <c r="D791" s="9"/>
      <c r="E791" s="9"/>
      <c r="F791" s="21" t="s">
        <v>75</v>
      </c>
      <c r="G791" s="20" t="s">
        <v>942</v>
      </c>
      <c r="H791" s="377" t="s">
        <v>1186</v>
      </c>
      <c r="I791" s="377"/>
      <c r="J791" s="377" t="s">
        <v>1187</v>
      </c>
      <c r="K791" s="377"/>
      <c r="L791" s="1"/>
      <c r="M791" s="2"/>
      <c r="N791" s="19">
        <v>11.5</v>
      </c>
      <c r="O791" s="22" t="str">
        <f t="shared" si="41"/>
        <v/>
      </c>
      <c r="P791" s="19" t="s">
        <v>448</v>
      </c>
      <c r="Q791" s="375" t="s">
        <v>242</v>
      </c>
      <c r="R791" s="375"/>
      <c r="S791" s="375"/>
      <c r="T791" s="93"/>
      <c r="U791" s="11"/>
      <c r="V791" s="320">
        <v>0</v>
      </c>
      <c r="W791" s="372" t="str">
        <f>IF(OR(G791="Collectors",G791="Special Pricing",G791="Boutique",G791="leafjoy littles",G791="Premium"),
    IF(V791&gt;0,"Show","Hide"),
    IF(V791 &gt;= _xlfn.XLOOKUP(F791,'Min table'!C$3:C$5,),"Show","Hide")
)</f>
        <v>Hide</v>
      </c>
      <c r="X791" s="317" t="s">
        <v>2437</v>
      </c>
      <c r="Y791" s="317" t="s">
        <v>2437</v>
      </c>
    </row>
    <row r="792" spans="3:25" ht="18.75" hidden="1" x14ac:dyDescent="0.3">
      <c r="C792" s="322"/>
      <c r="D792" s="9"/>
      <c r="E792" s="9"/>
      <c r="F792" s="21" t="s">
        <v>75</v>
      </c>
      <c r="G792" s="20" t="s">
        <v>942</v>
      </c>
      <c r="H792" s="377" t="s">
        <v>1188</v>
      </c>
      <c r="I792" s="377"/>
      <c r="J792" s="377" t="s">
        <v>1189</v>
      </c>
      <c r="K792" s="377"/>
      <c r="L792" s="1"/>
      <c r="M792" s="2"/>
      <c r="N792" s="19">
        <v>11.5</v>
      </c>
      <c r="O792" s="22" t="str">
        <f t="shared" si="41"/>
        <v/>
      </c>
      <c r="P792" s="19" t="s">
        <v>448</v>
      </c>
      <c r="Q792" s="375" t="s">
        <v>242</v>
      </c>
      <c r="R792" s="375"/>
      <c r="S792" s="375"/>
      <c r="T792" s="93"/>
      <c r="U792" s="11"/>
      <c r="V792" s="320">
        <v>0</v>
      </c>
      <c r="W792" s="372" t="str">
        <f>IF(OR(G792="Collectors",G792="Special Pricing",G792="Boutique",G792="leafjoy littles",G792="Premium"),
    IF(V792&gt;0,"Show","Hide"),
    IF(V792 &gt;= _xlfn.XLOOKUP(F792,'Min table'!C$3:C$5,),"Show","Hide")
)</f>
        <v>Hide</v>
      </c>
      <c r="X792" s="317" t="s">
        <v>2438</v>
      </c>
      <c r="Y792" s="317" t="s">
        <v>2438</v>
      </c>
    </row>
    <row r="793" spans="3:25" ht="18.75" hidden="1" x14ac:dyDescent="0.3">
      <c r="C793" s="322"/>
      <c r="D793" s="9"/>
      <c r="E793" s="9"/>
      <c r="F793" s="21" t="s">
        <v>75</v>
      </c>
      <c r="G793" s="20" t="s">
        <v>945</v>
      </c>
      <c r="H793" s="377" t="s">
        <v>1190</v>
      </c>
      <c r="I793" s="377"/>
      <c r="J793" s="377" t="s">
        <v>1191</v>
      </c>
      <c r="K793" s="377"/>
      <c r="L793" s="1"/>
      <c r="M793" s="2"/>
      <c r="N793" s="19">
        <v>8.5</v>
      </c>
      <c r="O793" s="22" t="str">
        <f t="shared" si="41"/>
        <v/>
      </c>
      <c r="P793" s="19" t="s">
        <v>448</v>
      </c>
      <c r="Q793" s="375" t="s">
        <v>224</v>
      </c>
      <c r="R793" s="375"/>
      <c r="S793" s="375"/>
      <c r="T793" s="93"/>
      <c r="U793" s="11"/>
      <c r="V793" s="320">
        <v>0</v>
      </c>
      <c r="W793" s="372" t="str">
        <f>IF(OR(G793="Collectors",G793="Special Pricing",G793="Boutique",G793="leafjoy littles",G793="Premium"),
    IF(V793&gt;0,"Show","Hide"),
    IF(V793 &gt;= _xlfn.XLOOKUP(F793,'Min table'!C$3:C$5,),"Show","Hide")
)</f>
        <v>Hide</v>
      </c>
      <c r="X793" s="317" t="s">
        <v>2439</v>
      </c>
      <c r="Y793" s="317" t="s">
        <v>2439</v>
      </c>
    </row>
    <row r="794" spans="3:25" ht="18.75" hidden="1" x14ac:dyDescent="0.3">
      <c r="C794" s="322"/>
      <c r="D794" s="9"/>
      <c r="E794" s="9"/>
      <c r="F794" s="21" t="s">
        <v>75</v>
      </c>
      <c r="G794" s="20" t="s">
        <v>945</v>
      </c>
      <c r="H794" s="377" t="s">
        <v>1190</v>
      </c>
      <c r="I794" s="377"/>
      <c r="J794" s="377" t="s">
        <v>1191</v>
      </c>
      <c r="K794" s="377"/>
      <c r="L794" s="1"/>
      <c r="M794" s="2"/>
      <c r="N794" s="19">
        <v>8.5</v>
      </c>
      <c r="O794" s="22" t="str">
        <f t="shared" si="41"/>
        <v/>
      </c>
      <c r="P794" s="19" t="s">
        <v>448</v>
      </c>
      <c r="Q794" s="375" t="s">
        <v>224</v>
      </c>
      <c r="R794" s="375"/>
      <c r="S794" s="375"/>
      <c r="T794" s="93"/>
      <c r="U794" s="11"/>
      <c r="V794" s="320">
        <v>0</v>
      </c>
      <c r="W794" s="372" t="str">
        <f>IF(OR(G794="Collectors",G794="Special Pricing",G794="Boutique",G794="leafjoy littles",G794="Premium"),
    IF(V794&gt;0,"Show","Hide"),
    IF(V794 &gt;= _xlfn.XLOOKUP(F794,'Min table'!C$3:C$5,),"Show","Hide")
)</f>
        <v>Hide</v>
      </c>
      <c r="X794" s="317" t="s">
        <v>2440</v>
      </c>
      <c r="Y794" s="317" t="s">
        <v>2440</v>
      </c>
    </row>
    <row r="795" spans="3:25" ht="18.75" hidden="1" x14ac:dyDescent="0.3">
      <c r="C795" s="322"/>
      <c r="D795" s="9"/>
      <c r="E795" s="9"/>
      <c r="F795" s="21" t="s">
        <v>75</v>
      </c>
      <c r="G795" s="20" t="s">
        <v>945</v>
      </c>
      <c r="H795" s="377" t="s">
        <v>1192</v>
      </c>
      <c r="I795" s="377"/>
      <c r="J795" s="377" t="s">
        <v>1193</v>
      </c>
      <c r="K795" s="377"/>
      <c r="L795" s="1"/>
      <c r="M795" s="2"/>
      <c r="N795" s="19">
        <v>8.5</v>
      </c>
      <c r="O795" s="22" t="str">
        <f t="shared" si="41"/>
        <v/>
      </c>
      <c r="P795" s="19" t="s">
        <v>448</v>
      </c>
      <c r="Q795" s="375" t="s">
        <v>224</v>
      </c>
      <c r="R795" s="375"/>
      <c r="S795" s="375"/>
      <c r="T795" s="93"/>
      <c r="U795" s="11"/>
      <c r="V795" s="320">
        <v>0</v>
      </c>
      <c r="W795" s="372" t="str">
        <f>IF(OR(G795="Collectors",G795="Special Pricing",G795="Boutique",G795="leafjoy littles",G795="Premium"),
    IF(V795&gt;0,"Show","Hide"),
    IF(V795 &gt;= _xlfn.XLOOKUP(F795,'Min table'!C$3:C$5,),"Show","Hide")
)</f>
        <v>Hide</v>
      </c>
      <c r="X795" s="317" t="s">
        <v>2441</v>
      </c>
      <c r="Y795" s="317" t="s">
        <v>2441</v>
      </c>
    </row>
    <row r="796" spans="3:25" ht="18.75" hidden="1" x14ac:dyDescent="0.3">
      <c r="C796" s="322"/>
      <c r="D796" s="9"/>
      <c r="E796" s="9"/>
      <c r="F796" s="21" t="s">
        <v>75</v>
      </c>
      <c r="G796" s="20" t="s">
        <v>945</v>
      </c>
      <c r="H796" s="377" t="s">
        <v>1194</v>
      </c>
      <c r="I796" s="377"/>
      <c r="J796" s="377" t="s">
        <v>1195</v>
      </c>
      <c r="K796" s="377"/>
      <c r="L796" s="1"/>
      <c r="M796" s="2"/>
      <c r="N796" s="19">
        <v>8.5</v>
      </c>
      <c r="O796" s="22" t="str">
        <f t="shared" si="41"/>
        <v/>
      </c>
      <c r="P796" s="19" t="s">
        <v>443</v>
      </c>
      <c r="Q796" s="375" t="s">
        <v>224</v>
      </c>
      <c r="R796" s="375"/>
      <c r="S796" s="375"/>
      <c r="T796" s="93"/>
      <c r="U796" s="11"/>
      <c r="V796" s="320">
        <v>0</v>
      </c>
      <c r="W796" s="372" t="str">
        <f>IF(OR(G796="Collectors",G796="Special Pricing",G796="Boutique",G796="leafjoy littles",G796="Premium"),
    IF(V796&gt;0,"Show","Hide"),
    IF(V796 &gt;= _xlfn.XLOOKUP(F796,'Min table'!C$3:C$5,),"Show","Hide")
)</f>
        <v>Hide</v>
      </c>
      <c r="X796" s="317" t="s">
        <v>2442</v>
      </c>
      <c r="Y796" s="317" t="s">
        <v>2442</v>
      </c>
    </row>
    <row r="797" spans="3:25" ht="18.75" hidden="1" x14ac:dyDescent="0.3">
      <c r="C797" s="322"/>
      <c r="D797" s="9"/>
      <c r="E797" s="9"/>
      <c r="F797" s="21" t="s">
        <v>75</v>
      </c>
      <c r="G797" s="20" t="s">
        <v>942</v>
      </c>
      <c r="H797" s="377" t="s">
        <v>1196</v>
      </c>
      <c r="I797" s="377"/>
      <c r="J797" s="377" t="s">
        <v>1197</v>
      </c>
      <c r="K797" s="377"/>
      <c r="L797" s="1"/>
      <c r="M797" s="2"/>
      <c r="N797" s="19">
        <v>11.5</v>
      </c>
      <c r="O797" s="22" t="str">
        <f t="shared" si="41"/>
        <v/>
      </c>
      <c r="P797" s="21" t="s">
        <v>448</v>
      </c>
      <c r="Q797" s="375" t="s">
        <v>242</v>
      </c>
      <c r="R797" s="375"/>
      <c r="S797" s="375"/>
      <c r="T797" s="93"/>
      <c r="U797" s="11"/>
      <c r="V797" s="320">
        <v>0</v>
      </c>
      <c r="W797" s="372" t="str">
        <f>IF(OR(G797="Collectors",G797="Special Pricing",G797="Boutique",G797="leafjoy littles",G797="Premium"),
    IF(V797&gt;0,"Show","Hide"),
    IF(V797 &gt;= _xlfn.XLOOKUP(F797,'Min table'!C$3:C$5,),"Show","Hide")
)</f>
        <v>Hide</v>
      </c>
      <c r="X797" s="342" t="s">
        <v>2443</v>
      </c>
      <c r="Y797" s="317" t="s">
        <v>2443</v>
      </c>
    </row>
    <row r="798" spans="3:25" ht="18.75" hidden="1" x14ac:dyDescent="0.3">
      <c r="C798" s="322"/>
      <c r="D798" s="9"/>
      <c r="E798" s="9"/>
      <c r="F798" s="21" t="s">
        <v>75</v>
      </c>
      <c r="G798" s="20" t="s">
        <v>942</v>
      </c>
      <c r="H798" s="377" t="s">
        <v>1198</v>
      </c>
      <c r="I798" s="377"/>
      <c r="J798" s="377" t="s">
        <v>1199</v>
      </c>
      <c r="K798" s="377"/>
      <c r="L798" s="1"/>
      <c r="M798" s="2"/>
      <c r="N798" s="19">
        <v>11.5</v>
      </c>
      <c r="O798" s="22" t="str">
        <f t="shared" si="41"/>
        <v/>
      </c>
      <c r="P798" s="19" t="s">
        <v>448</v>
      </c>
      <c r="Q798" s="375" t="s">
        <v>242</v>
      </c>
      <c r="R798" s="375"/>
      <c r="S798" s="375"/>
      <c r="T798" s="93"/>
      <c r="U798" s="11"/>
      <c r="V798" s="320">
        <v>0</v>
      </c>
      <c r="W798" s="372" t="str">
        <f>IF(OR(G798="Collectors",G798="Special Pricing",G798="Boutique",G798="leafjoy littles",G798="Premium"),
    IF(V798&gt;0,"Show","Hide"),
    IF(V798 &gt;= _xlfn.XLOOKUP(F798,'Min table'!C$3:C$5,),"Show","Hide")
)</f>
        <v>Hide</v>
      </c>
      <c r="X798" s="317" t="s">
        <v>2444</v>
      </c>
      <c r="Y798" s="317" t="s">
        <v>2444</v>
      </c>
    </row>
    <row r="799" spans="3:25" ht="18.75" hidden="1" x14ac:dyDescent="0.3">
      <c r="C799" s="322"/>
      <c r="D799" s="9"/>
      <c r="E799" s="9"/>
      <c r="F799" s="21" t="s">
        <v>75</v>
      </c>
      <c r="G799" s="20" t="s">
        <v>991</v>
      </c>
      <c r="H799" s="377" t="s">
        <v>1200</v>
      </c>
      <c r="I799" s="377"/>
      <c r="J799" s="377" t="s">
        <v>1201</v>
      </c>
      <c r="K799" s="377"/>
      <c r="L799" s="1"/>
      <c r="M799" s="2"/>
      <c r="N799" s="19">
        <v>20</v>
      </c>
      <c r="O799" s="22" t="str">
        <f t="shared" si="41"/>
        <v/>
      </c>
      <c r="P799" s="21" t="s">
        <v>448</v>
      </c>
      <c r="Q799" s="375" t="s">
        <v>341</v>
      </c>
      <c r="R799" s="375"/>
      <c r="S799" s="375"/>
      <c r="T799" s="93"/>
      <c r="U799" s="11"/>
      <c r="V799" s="320">
        <v>0</v>
      </c>
      <c r="W799" s="372" t="str">
        <f>IF(OR(G799="Collectors",G799="Special Pricing",G799="Boutique",G799="leafjoy littles",G799="Premium"),
    IF(V799&gt;0,"Show","Hide"),
    IF(V799 &gt;= _xlfn.XLOOKUP(F799,'Min table'!C$3:C$5,),"Show","Hide")
)</f>
        <v>Hide</v>
      </c>
      <c r="X799" s="342" t="s">
        <v>2445</v>
      </c>
      <c r="Y799" s="317" t="s">
        <v>2445</v>
      </c>
    </row>
    <row r="800" spans="3:25" ht="18.75" hidden="1" x14ac:dyDescent="0.3">
      <c r="C800" s="322"/>
      <c r="D800" s="9"/>
      <c r="E800" s="9"/>
      <c r="F800" s="21" t="s">
        <v>75</v>
      </c>
      <c r="G800" s="20" t="s">
        <v>942</v>
      </c>
      <c r="H800" s="377" t="s">
        <v>1202</v>
      </c>
      <c r="I800" s="377"/>
      <c r="J800" s="377" t="s">
        <v>1203</v>
      </c>
      <c r="K800" s="377"/>
      <c r="L800" s="1"/>
      <c r="M800" s="2"/>
      <c r="N800" s="19">
        <v>11.5</v>
      </c>
      <c r="O800" s="22" t="str">
        <f t="shared" si="41"/>
        <v/>
      </c>
      <c r="P800" s="19" t="s">
        <v>448</v>
      </c>
      <c r="Q800" s="375" t="s">
        <v>242</v>
      </c>
      <c r="R800" s="375"/>
      <c r="S800" s="375"/>
      <c r="T800" s="93"/>
      <c r="U800" s="11"/>
      <c r="V800" s="320">
        <v>0</v>
      </c>
      <c r="W800" s="372" t="str">
        <f>IF(OR(G800="Collectors",G800="Special Pricing",G800="Boutique",G800="leafjoy littles",G800="Premium"),
    IF(V800&gt;0,"Show","Hide"),
    IF(V800 &gt;= _xlfn.XLOOKUP(F800,'Min table'!C$3:C$5,),"Show","Hide")
)</f>
        <v>Hide</v>
      </c>
      <c r="X800" s="342" t="s">
        <v>2446</v>
      </c>
      <c r="Y800" s="317" t="s">
        <v>2446</v>
      </c>
    </row>
    <row r="801" spans="3:25" ht="18.75" hidden="1" x14ac:dyDescent="0.3">
      <c r="C801" s="322"/>
      <c r="D801" s="9"/>
      <c r="E801" s="9"/>
      <c r="F801" s="21" t="s">
        <v>75</v>
      </c>
      <c r="G801" s="20" t="s">
        <v>991</v>
      </c>
      <c r="H801" s="377" t="s">
        <v>1204</v>
      </c>
      <c r="I801" s="377"/>
      <c r="J801" s="377" t="s">
        <v>1205</v>
      </c>
      <c r="K801" s="377"/>
      <c r="L801" s="1"/>
      <c r="M801" s="2"/>
      <c r="N801" s="19">
        <v>20</v>
      </c>
      <c r="O801" s="22" t="str">
        <f t="shared" si="41"/>
        <v/>
      </c>
      <c r="P801" s="19" t="s">
        <v>448</v>
      </c>
      <c r="Q801" s="375" t="s">
        <v>341</v>
      </c>
      <c r="R801" s="375"/>
      <c r="S801" s="375"/>
      <c r="T801" s="93"/>
      <c r="U801" s="11"/>
      <c r="V801" s="320">
        <v>0</v>
      </c>
      <c r="W801" s="372" t="str">
        <f>IF(OR(G801="Collectors",G801="Special Pricing",G801="Boutique",G801="leafjoy littles",G801="Premium"),
    IF(V801&gt;0,"Show","Hide"),
    IF(V801 &gt;= _xlfn.XLOOKUP(F801,'Min table'!C$3:C$5,),"Show","Hide")
)</f>
        <v>Hide</v>
      </c>
      <c r="X801" s="317" t="s">
        <v>2447</v>
      </c>
      <c r="Y801" s="317" t="s">
        <v>2447</v>
      </c>
    </row>
    <row r="802" spans="3:25" ht="18.75" hidden="1" x14ac:dyDescent="0.3">
      <c r="C802" s="322"/>
      <c r="D802" s="9"/>
      <c r="E802" s="9"/>
      <c r="F802" s="21" t="s">
        <v>75</v>
      </c>
      <c r="G802" s="20" t="s">
        <v>991</v>
      </c>
      <c r="H802" s="377" t="s">
        <v>1206</v>
      </c>
      <c r="I802" s="377"/>
      <c r="J802" s="377" t="s">
        <v>1207</v>
      </c>
      <c r="K802" s="377"/>
      <c r="L802" s="1"/>
      <c r="M802" s="2"/>
      <c r="N802" s="19">
        <v>20</v>
      </c>
      <c r="O802" s="22" t="str">
        <f t="shared" si="41"/>
        <v/>
      </c>
      <c r="P802" s="19" t="s">
        <v>448</v>
      </c>
      <c r="Q802" s="375" t="s">
        <v>341</v>
      </c>
      <c r="R802" s="375"/>
      <c r="S802" s="375"/>
      <c r="T802" s="93"/>
      <c r="U802" s="11"/>
      <c r="V802" s="320">
        <v>0</v>
      </c>
      <c r="W802" s="372" t="str">
        <f>IF(OR(G802="Collectors",G802="Special Pricing",G802="Boutique",G802="leafjoy littles",G802="Premium"),
    IF(V802&gt;0,"Show","Hide"),
    IF(V802 &gt;= _xlfn.XLOOKUP(F802,'Min table'!C$3:C$5,),"Show","Hide")
)</f>
        <v>Hide</v>
      </c>
      <c r="X802" s="317" t="s">
        <v>2448</v>
      </c>
      <c r="Y802" s="317" t="s">
        <v>2448</v>
      </c>
    </row>
    <row r="803" spans="3:25" ht="18.75" hidden="1" x14ac:dyDescent="0.3">
      <c r="C803" s="322"/>
      <c r="D803" s="9"/>
      <c r="E803" s="9"/>
      <c r="F803" s="21" t="s">
        <v>75</v>
      </c>
      <c r="G803" s="20" t="s">
        <v>991</v>
      </c>
      <c r="H803" s="377" t="s">
        <v>1208</v>
      </c>
      <c r="I803" s="377"/>
      <c r="J803" s="377" t="s">
        <v>1209</v>
      </c>
      <c r="K803" s="377"/>
      <c r="L803" s="1"/>
      <c r="M803" s="2"/>
      <c r="N803" s="19">
        <v>20</v>
      </c>
      <c r="O803" s="22" t="str">
        <f t="shared" si="41"/>
        <v/>
      </c>
      <c r="P803" s="19" t="s">
        <v>448</v>
      </c>
      <c r="Q803" s="375" t="s">
        <v>341</v>
      </c>
      <c r="R803" s="375"/>
      <c r="S803" s="375"/>
      <c r="T803" s="93"/>
      <c r="U803" s="11"/>
      <c r="V803" s="320">
        <v>0</v>
      </c>
      <c r="W803" s="372" t="str">
        <f>IF(OR(G803="Collectors",G803="Special Pricing",G803="Boutique",G803="leafjoy littles",G803="Premium"),
    IF(V803&gt;0,"Show","Hide"),
    IF(V803 &gt;= _xlfn.XLOOKUP(F803,'Min table'!C$3:C$5,),"Show","Hide")
)</f>
        <v>Hide</v>
      </c>
      <c r="X803" s="317" t="s">
        <v>2449</v>
      </c>
      <c r="Y803" s="317" t="s">
        <v>2449</v>
      </c>
    </row>
    <row r="804" spans="3:25" ht="18.75" hidden="1" x14ac:dyDescent="0.3">
      <c r="C804" s="322"/>
      <c r="D804" s="9"/>
      <c r="E804" s="9"/>
      <c r="F804" s="21" t="s">
        <v>75</v>
      </c>
      <c r="G804" s="20" t="s">
        <v>991</v>
      </c>
      <c r="H804" s="377" t="s">
        <v>1210</v>
      </c>
      <c r="I804" s="377"/>
      <c r="J804" s="377" t="s">
        <v>1211</v>
      </c>
      <c r="K804" s="377"/>
      <c r="L804" s="1"/>
      <c r="M804" s="2"/>
      <c r="N804" s="19">
        <v>20</v>
      </c>
      <c r="O804" s="22" t="str">
        <f t="shared" si="41"/>
        <v/>
      </c>
      <c r="P804" s="19" t="s">
        <v>448</v>
      </c>
      <c r="Q804" s="375" t="s">
        <v>341</v>
      </c>
      <c r="R804" s="375"/>
      <c r="S804" s="375"/>
      <c r="T804" s="93"/>
      <c r="U804" s="11"/>
      <c r="V804" s="320">
        <v>0</v>
      </c>
      <c r="W804" s="372" t="str">
        <f>IF(OR(G804="Collectors",G804="Special Pricing",G804="Boutique",G804="leafjoy littles",G804="Premium"),
    IF(V804&gt;0,"Show","Hide"),
    IF(V804 &gt;= _xlfn.XLOOKUP(F804,'Min table'!C$3:C$5,),"Show","Hide")
)</f>
        <v>Hide</v>
      </c>
      <c r="X804" s="317" t="s">
        <v>2450</v>
      </c>
      <c r="Y804" s="317" t="s">
        <v>2450</v>
      </c>
    </row>
    <row r="805" spans="3:25" ht="18.75" hidden="1" x14ac:dyDescent="0.3">
      <c r="C805" s="322"/>
      <c r="D805" s="9"/>
      <c r="E805" s="9"/>
      <c r="F805" s="21" t="s">
        <v>75</v>
      </c>
      <c r="G805" s="20" t="s">
        <v>991</v>
      </c>
      <c r="H805" s="377" t="s">
        <v>1212</v>
      </c>
      <c r="I805" s="377"/>
      <c r="J805" s="377" t="s">
        <v>1213</v>
      </c>
      <c r="K805" s="377"/>
      <c r="L805" s="1"/>
      <c r="M805" s="2"/>
      <c r="N805" s="19">
        <v>20</v>
      </c>
      <c r="O805" s="22" t="str">
        <f t="shared" si="41"/>
        <v/>
      </c>
      <c r="P805" s="19" t="s">
        <v>448</v>
      </c>
      <c r="Q805" s="375" t="s">
        <v>341</v>
      </c>
      <c r="R805" s="375"/>
      <c r="S805" s="375"/>
      <c r="T805" s="93"/>
      <c r="U805" s="11"/>
      <c r="V805" s="320">
        <v>0</v>
      </c>
      <c r="W805" s="372" t="str">
        <f>IF(OR(G805="Collectors",G805="Special Pricing",G805="Boutique",G805="leafjoy littles",G805="Premium"),
    IF(V805&gt;0,"Show","Hide"),
    IF(V805 &gt;= _xlfn.XLOOKUP(F805,'Min table'!C$3:C$5,),"Show","Hide")
)</f>
        <v>Hide</v>
      </c>
      <c r="X805" s="317" t="s">
        <v>2451</v>
      </c>
      <c r="Y805" s="317" t="s">
        <v>2451</v>
      </c>
    </row>
    <row r="806" spans="3:25" ht="18.75" hidden="1" x14ac:dyDescent="0.3">
      <c r="C806" s="322"/>
      <c r="D806" s="9"/>
      <c r="E806" s="9"/>
      <c r="F806" s="21" t="s">
        <v>75</v>
      </c>
      <c r="G806" s="20" t="s">
        <v>991</v>
      </c>
      <c r="H806" s="377" t="s">
        <v>1214</v>
      </c>
      <c r="I806" s="377"/>
      <c r="J806" s="377" t="s">
        <v>1215</v>
      </c>
      <c r="K806" s="377"/>
      <c r="L806" s="1"/>
      <c r="M806" s="2"/>
      <c r="N806" s="19">
        <v>20</v>
      </c>
      <c r="O806" s="22" t="str">
        <f t="shared" si="41"/>
        <v/>
      </c>
      <c r="P806" s="19" t="s">
        <v>448</v>
      </c>
      <c r="Q806" s="375" t="s">
        <v>341</v>
      </c>
      <c r="R806" s="375"/>
      <c r="S806" s="375"/>
      <c r="T806" s="93"/>
      <c r="U806" s="11"/>
      <c r="V806" s="320">
        <v>0</v>
      </c>
      <c r="W806" s="372" t="str">
        <f>IF(OR(G806="Collectors",G806="Special Pricing",G806="Boutique",G806="leafjoy littles",G806="Premium"),
    IF(V806&gt;0,"Show","Hide"),
    IF(V806 &gt;= _xlfn.XLOOKUP(F806,'Min table'!C$3:C$5,),"Show","Hide")
)</f>
        <v>Hide</v>
      </c>
      <c r="X806" s="317" t="s">
        <v>2452</v>
      </c>
      <c r="Y806" s="317" t="s">
        <v>2452</v>
      </c>
    </row>
    <row r="807" spans="3:25" ht="18.75" hidden="1" x14ac:dyDescent="0.3">
      <c r="C807" s="322"/>
      <c r="D807" s="9"/>
      <c r="E807" s="9"/>
      <c r="F807" s="21" t="s">
        <v>75</v>
      </c>
      <c r="G807" s="20" t="s">
        <v>991</v>
      </c>
      <c r="H807" s="377" t="s">
        <v>1216</v>
      </c>
      <c r="I807" s="377"/>
      <c r="J807" s="377" t="s">
        <v>1217</v>
      </c>
      <c r="K807" s="377"/>
      <c r="L807" s="1"/>
      <c r="M807" s="2"/>
      <c r="N807" s="19">
        <v>20</v>
      </c>
      <c r="O807" s="22" t="str">
        <f t="shared" si="41"/>
        <v/>
      </c>
      <c r="P807" s="19" t="s">
        <v>448</v>
      </c>
      <c r="Q807" s="375" t="s">
        <v>341</v>
      </c>
      <c r="R807" s="375"/>
      <c r="S807" s="375"/>
      <c r="T807" s="93"/>
      <c r="U807" s="11"/>
      <c r="V807" s="320">
        <v>0</v>
      </c>
      <c r="W807" s="372" t="str">
        <f>IF(OR(G807="Collectors",G807="Special Pricing",G807="Boutique",G807="leafjoy littles",G807="Premium"),
    IF(V807&gt;0,"Show","Hide"),
    IF(V807 &gt;= _xlfn.XLOOKUP(F807,'Min table'!C$3:C$5,),"Show","Hide")
)</f>
        <v>Hide</v>
      </c>
      <c r="X807" s="317" t="s">
        <v>2453</v>
      </c>
      <c r="Y807" s="317" t="s">
        <v>2453</v>
      </c>
    </row>
    <row r="808" spans="3:25" ht="18.75" hidden="1" x14ac:dyDescent="0.3">
      <c r="C808" s="322"/>
      <c r="D808" s="9"/>
      <c r="E808" s="9"/>
      <c r="F808" s="21" t="s">
        <v>75</v>
      </c>
      <c r="G808" s="20" t="s">
        <v>991</v>
      </c>
      <c r="H808" s="377" t="s">
        <v>1218</v>
      </c>
      <c r="I808" s="377"/>
      <c r="J808" s="377" t="s">
        <v>1219</v>
      </c>
      <c r="K808" s="377"/>
      <c r="L808" s="1"/>
      <c r="M808" s="2"/>
      <c r="N808" s="19">
        <v>20</v>
      </c>
      <c r="O808" s="22" t="str">
        <f t="shared" si="41"/>
        <v/>
      </c>
      <c r="P808" s="19" t="s">
        <v>448</v>
      </c>
      <c r="Q808" s="375" t="s">
        <v>341</v>
      </c>
      <c r="R808" s="375"/>
      <c r="S808" s="375"/>
      <c r="T808" s="93"/>
      <c r="U808" s="11"/>
      <c r="V808" s="320">
        <v>0</v>
      </c>
      <c r="W808" s="372" t="str">
        <f>IF(OR(G808="Collectors",G808="Special Pricing",G808="Boutique",G808="leafjoy littles",G808="Premium"),
    IF(V808&gt;0,"Show","Hide"),
    IF(V808 &gt;= _xlfn.XLOOKUP(F808,'Min table'!C$3:C$5,),"Show","Hide")
)</f>
        <v>Hide</v>
      </c>
      <c r="X808" s="342" t="s">
        <v>2454</v>
      </c>
      <c r="Y808" s="317" t="s">
        <v>2454</v>
      </c>
    </row>
    <row r="809" spans="3:25" ht="18.75" hidden="1" x14ac:dyDescent="0.3">
      <c r="C809" s="322"/>
      <c r="D809" s="9"/>
      <c r="E809" s="9"/>
      <c r="F809" s="21" t="s">
        <v>75</v>
      </c>
      <c r="G809" s="20" t="s">
        <v>942</v>
      </c>
      <c r="H809" s="377" t="s">
        <v>1220</v>
      </c>
      <c r="I809" s="377"/>
      <c r="J809" s="377" t="s">
        <v>1221</v>
      </c>
      <c r="K809" s="377"/>
      <c r="L809" s="1"/>
      <c r="M809" s="2"/>
      <c r="N809" s="19">
        <v>11.5</v>
      </c>
      <c r="O809" s="22" t="str">
        <f t="shared" si="41"/>
        <v/>
      </c>
      <c r="P809" s="19" t="s">
        <v>448</v>
      </c>
      <c r="Q809" s="375" t="s">
        <v>242</v>
      </c>
      <c r="R809" s="375"/>
      <c r="S809" s="375"/>
      <c r="T809" s="93"/>
      <c r="U809" s="11"/>
      <c r="V809" s="320">
        <v>0</v>
      </c>
      <c r="W809" s="372" t="str">
        <f>IF(OR(G809="Collectors",G809="Special Pricing",G809="Boutique",G809="leafjoy littles",G809="Premium"),
    IF(V809&gt;0,"Show","Hide"),
    IF(V809 &gt;= _xlfn.XLOOKUP(F809,'Min table'!C$3:C$5,),"Show","Hide")
)</f>
        <v>Hide</v>
      </c>
      <c r="X809" s="317" t="s">
        <v>2455</v>
      </c>
      <c r="Y809" s="317" t="s">
        <v>2455</v>
      </c>
    </row>
    <row r="810" spans="3:25" ht="18.75" hidden="1" x14ac:dyDescent="0.3">
      <c r="C810" s="322"/>
      <c r="D810" s="9"/>
      <c r="E810" s="9"/>
      <c r="F810" s="21" t="s">
        <v>75</v>
      </c>
      <c r="G810" s="20" t="s">
        <v>991</v>
      </c>
      <c r="H810" s="377" t="s">
        <v>1222</v>
      </c>
      <c r="I810" s="377"/>
      <c r="J810" s="377" t="s">
        <v>1223</v>
      </c>
      <c r="K810" s="377"/>
      <c r="L810" s="1"/>
      <c r="M810" s="2"/>
      <c r="N810" s="19">
        <v>20</v>
      </c>
      <c r="O810" s="22" t="str">
        <f t="shared" si="41"/>
        <v/>
      </c>
      <c r="P810" s="19" t="s">
        <v>448</v>
      </c>
      <c r="Q810" s="375" t="s">
        <v>341</v>
      </c>
      <c r="R810" s="375"/>
      <c r="S810" s="375"/>
      <c r="T810" s="93"/>
      <c r="U810" s="11"/>
      <c r="V810" s="320">
        <v>0</v>
      </c>
      <c r="W810" s="372" t="str">
        <f>IF(OR(G810="Collectors",G810="Special Pricing",G810="Boutique",G810="leafjoy littles",G810="Premium"),
    IF(V810&gt;0,"Show","Hide"),
    IF(V810 &gt;= _xlfn.XLOOKUP(F810,'Min table'!C$3:C$5,),"Show","Hide")
)</f>
        <v>Hide</v>
      </c>
      <c r="X810" s="317" t="s">
        <v>2456</v>
      </c>
      <c r="Y810" s="317" t="s">
        <v>2456</v>
      </c>
    </row>
    <row r="811" spans="3:25" ht="18.75" hidden="1" x14ac:dyDescent="0.3">
      <c r="C811" s="322"/>
      <c r="D811" s="9"/>
      <c r="E811" s="9"/>
      <c r="F811" s="21" t="s">
        <v>75</v>
      </c>
      <c r="G811" s="20" t="s">
        <v>942</v>
      </c>
      <c r="H811" s="377" t="s">
        <v>1224</v>
      </c>
      <c r="I811" s="377"/>
      <c r="J811" s="377" t="s">
        <v>1225</v>
      </c>
      <c r="K811" s="377"/>
      <c r="L811" s="1"/>
      <c r="M811" s="2"/>
      <c r="N811" s="19">
        <v>11.5</v>
      </c>
      <c r="O811" s="22" t="str">
        <f t="shared" si="41"/>
        <v/>
      </c>
      <c r="P811" s="19" t="s">
        <v>448</v>
      </c>
      <c r="Q811" s="375" t="s">
        <v>242</v>
      </c>
      <c r="R811" s="375"/>
      <c r="S811" s="375"/>
      <c r="T811" s="93"/>
      <c r="U811" s="11"/>
      <c r="V811" s="320">
        <v>0</v>
      </c>
      <c r="W811" s="372" t="str">
        <f>IF(OR(G811="Collectors",G811="Special Pricing",G811="Boutique",G811="leafjoy littles",G811="Premium"),
    IF(V811&gt;0,"Show","Hide"),
    IF(V811 &gt;= _xlfn.XLOOKUP(F811,'Min table'!C$3:C$5,),"Show","Hide")
)</f>
        <v>Hide</v>
      </c>
      <c r="X811" s="317" t="s">
        <v>2457</v>
      </c>
      <c r="Y811" s="317" t="s">
        <v>2457</v>
      </c>
    </row>
    <row r="812" spans="3:25" ht="18.75" hidden="1" x14ac:dyDescent="0.3">
      <c r="C812" s="322"/>
      <c r="D812" s="9"/>
      <c r="E812" s="9"/>
      <c r="F812" s="21" t="s">
        <v>75</v>
      </c>
      <c r="G812" s="20" t="s">
        <v>991</v>
      </c>
      <c r="H812" s="377" t="s">
        <v>1226</v>
      </c>
      <c r="I812" s="377"/>
      <c r="J812" s="377" t="s">
        <v>1227</v>
      </c>
      <c r="K812" s="377"/>
      <c r="L812" s="1"/>
      <c r="M812" s="2"/>
      <c r="N812" s="19">
        <v>20</v>
      </c>
      <c r="O812" s="22" t="str">
        <f t="shared" si="41"/>
        <v/>
      </c>
      <c r="P812" s="21" t="s">
        <v>448</v>
      </c>
      <c r="Q812" s="375" t="s">
        <v>341</v>
      </c>
      <c r="R812" s="375"/>
      <c r="S812" s="375"/>
      <c r="T812" s="93"/>
      <c r="U812" s="11"/>
      <c r="V812" s="320">
        <v>0</v>
      </c>
      <c r="W812" s="372" t="str">
        <f>IF(OR(G812="Collectors",G812="Special Pricing",G812="Boutique",G812="leafjoy littles",G812="Premium"),
    IF(V812&gt;0,"Show","Hide"),
    IF(V812 &gt;= _xlfn.XLOOKUP(F812,'Min table'!C$3:C$5,),"Show","Hide")
)</f>
        <v>Hide</v>
      </c>
      <c r="X812" s="317" t="s">
        <v>2458</v>
      </c>
      <c r="Y812" s="317" t="s">
        <v>2458</v>
      </c>
    </row>
    <row r="813" spans="3:25" ht="18.75" hidden="1" x14ac:dyDescent="0.3">
      <c r="C813" s="322"/>
      <c r="D813" s="9"/>
      <c r="E813" s="9"/>
      <c r="F813" s="21" t="s">
        <v>75</v>
      </c>
      <c r="G813" s="20" t="s">
        <v>991</v>
      </c>
      <c r="H813" s="377" t="s">
        <v>1228</v>
      </c>
      <c r="I813" s="377"/>
      <c r="J813" s="377" t="s">
        <v>1229</v>
      </c>
      <c r="K813" s="377"/>
      <c r="L813" s="1"/>
      <c r="M813" s="2"/>
      <c r="N813" s="19">
        <v>20</v>
      </c>
      <c r="O813" s="22" t="str">
        <f t="shared" si="41"/>
        <v/>
      </c>
      <c r="P813" s="19" t="s">
        <v>448</v>
      </c>
      <c r="Q813" s="375" t="s">
        <v>341</v>
      </c>
      <c r="R813" s="375"/>
      <c r="S813" s="375"/>
      <c r="T813" s="93"/>
      <c r="U813" s="11"/>
      <c r="V813" s="320">
        <v>0</v>
      </c>
      <c r="W813" s="372" t="str">
        <f>IF(OR(G813="Collectors",G813="Special Pricing",G813="Boutique",G813="leafjoy littles",G813="Premium"),
    IF(V813&gt;0,"Show","Hide"),
    IF(V813 &gt;= _xlfn.XLOOKUP(F813,'Min table'!C$3:C$5,),"Show","Hide")
)</f>
        <v>Hide</v>
      </c>
      <c r="X813" s="317" t="s">
        <v>2459</v>
      </c>
      <c r="Y813" s="317" t="s">
        <v>2459</v>
      </c>
    </row>
    <row r="814" spans="3:25" ht="18.75" hidden="1" x14ac:dyDescent="0.3">
      <c r="C814" s="322"/>
      <c r="D814" s="9"/>
      <c r="E814" s="9"/>
      <c r="F814" s="21" t="s">
        <v>75</v>
      </c>
      <c r="G814" s="20" t="s">
        <v>942</v>
      </c>
      <c r="H814" s="377" t="s">
        <v>1230</v>
      </c>
      <c r="I814" s="377"/>
      <c r="J814" s="377" t="s">
        <v>1231</v>
      </c>
      <c r="K814" s="377"/>
      <c r="L814" s="1"/>
      <c r="M814" s="2"/>
      <c r="N814" s="19">
        <v>11.5</v>
      </c>
      <c r="O814" s="22" t="str">
        <f t="shared" si="41"/>
        <v/>
      </c>
      <c r="P814" s="19" t="s">
        <v>448</v>
      </c>
      <c r="Q814" s="375" t="s">
        <v>242</v>
      </c>
      <c r="R814" s="375"/>
      <c r="S814" s="375"/>
      <c r="T814" s="93"/>
      <c r="U814" s="11"/>
      <c r="V814" s="320">
        <v>0</v>
      </c>
      <c r="W814" s="372" t="str">
        <f>IF(OR(G814="Collectors",G814="Special Pricing",G814="Boutique",G814="leafjoy littles",G814="Premium"),
    IF(V814&gt;0,"Show","Hide"),
    IF(V814 &gt;= _xlfn.XLOOKUP(F814,'Min table'!C$3:C$5,),"Show","Hide")
)</f>
        <v>Hide</v>
      </c>
      <c r="X814" s="342" t="s">
        <v>2460</v>
      </c>
      <c r="Y814" s="317" t="s">
        <v>2460</v>
      </c>
    </row>
    <row r="815" spans="3:25" ht="18.75" hidden="1" x14ac:dyDescent="0.3">
      <c r="C815" s="322"/>
      <c r="D815" s="9"/>
      <c r="E815" s="9"/>
      <c r="F815" s="21" t="s">
        <v>75</v>
      </c>
      <c r="G815" s="20" t="s">
        <v>942</v>
      </c>
      <c r="H815" s="377" t="s">
        <v>1232</v>
      </c>
      <c r="I815" s="377"/>
      <c r="J815" s="377" t="s">
        <v>1233</v>
      </c>
      <c r="K815" s="377"/>
      <c r="L815" s="1"/>
      <c r="M815" s="2"/>
      <c r="N815" s="19">
        <v>11.5</v>
      </c>
      <c r="O815" s="22" t="str">
        <f t="shared" si="41"/>
        <v/>
      </c>
      <c r="P815" s="21" t="s">
        <v>448</v>
      </c>
      <c r="Q815" s="375" t="s">
        <v>242</v>
      </c>
      <c r="R815" s="375"/>
      <c r="S815" s="375"/>
      <c r="T815" s="93"/>
      <c r="U815" s="11"/>
      <c r="V815" s="320">
        <v>0</v>
      </c>
      <c r="W815" s="372" t="str">
        <f>IF(OR(G815="Collectors",G815="Special Pricing",G815="Boutique",G815="leafjoy littles",G815="Premium"),
    IF(V815&gt;0,"Show","Hide"),
    IF(V815 &gt;= _xlfn.XLOOKUP(F815,'Min table'!C$3:C$5,),"Show","Hide")
)</f>
        <v>Hide</v>
      </c>
      <c r="X815" s="317" t="s">
        <v>2461</v>
      </c>
      <c r="Y815" s="317" t="s">
        <v>2461</v>
      </c>
    </row>
    <row r="816" spans="3:25" ht="18.75" hidden="1" x14ac:dyDescent="0.3">
      <c r="C816" s="322"/>
      <c r="D816" s="9"/>
      <c r="E816" s="9"/>
      <c r="F816" s="21" t="s">
        <v>75</v>
      </c>
      <c r="G816" s="20" t="s">
        <v>942</v>
      </c>
      <c r="H816" s="377" t="s">
        <v>1234</v>
      </c>
      <c r="I816" s="377"/>
      <c r="J816" s="377" t="s">
        <v>1235</v>
      </c>
      <c r="K816" s="377"/>
      <c r="L816" s="1"/>
      <c r="M816" s="2"/>
      <c r="N816" s="19">
        <v>11.5</v>
      </c>
      <c r="O816" s="22" t="str">
        <f t="shared" si="41"/>
        <v/>
      </c>
      <c r="P816" s="19" t="s">
        <v>448</v>
      </c>
      <c r="Q816" s="375" t="s">
        <v>242</v>
      </c>
      <c r="R816" s="375"/>
      <c r="S816" s="375"/>
      <c r="T816" s="93"/>
      <c r="U816" s="11"/>
      <c r="V816" s="320">
        <v>0</v>
      </c>
      <c r="W816" s="372" t="str">
        <f>IF(OR(G816="Collectors",G816="Special Pricing",G816="Boutique",G816="leafjoy littles",G816="Premium"),
    IF(V816&gt;0,"Show","Hide"),
    IF(V816 &gt;= _xlfn.XLOOKUP(F816,'Min table'!C$3:C$5,),"Show","Hide")
)</f>
        <v>Hide</v>
      </c>
      <c r="X816" s="317" t="s">
        <v>2462</v>
      </c>
      <c r="Y816" s="347" t="s">
        <v>2462</v>
      </c>
    </row>
    <row r="817" spans="3:25" ht="18.75" hidden="1" x14ac:dyDescent="0.3">
      <c r="C817" s="322"/>
      <c r="D817" s="9"/>
      <c r="E817" s="9"/>
      <c r="F817" s="21" t="s">
        <v>75</v>
      </c>
      <c r="G817" s="20" t="s">
        <v>942</v>
      </c>
      <c r="H817" s="377" t="s">
        <v>1236</v>
      </c>
      <c r="I817" s="377"/>
      <c r="J817" s="377" t="s">
        <v>1237</v>
      </c>
      <c r="K817" s="377"/>
      <c r="L817" s="1"/>
      <c r="M817" s="2"/>
      <c r="N817" s="19">
        <v>11.5</v>
      </c>
      <c r="O817" s="22" t="str">
        <f t="shared" si="41"/>
        <v/>
      </c>
      <c r="P817" s="21" t="s">
        <v>448</v>
      </c>
      <c r="Q817" s="375" t="s">
        <v>242</v>
      </c>
      <c r="R817" s="375"/>
      <c r="S817" s="375"/>
      <c r="T817" s="93"/>
      <c r="U817" s="11"/>
      <c r="V817" s="320">
        <v>0</v>
      </c>
      <c r="W817" s="372" t="str">
        <f>IF(OR(G817="Collectors",G817="Special Pricing",G817="Boutique",G817="leafjoy littles",G817="Premium"),
    IF(V817&gt;0,"Show","Hide"),
    IF(V817 &gt;= _xlfn.XLOOKUP(F817,'Min table'!C$3:C$5,),"Show","Hide")
)</f>
        <v>Hide</v>
      </c>
      <c r="X817" s="317" t="s">
        <v>2463</v>
      </c>
      <c r="Y817" s="317" t="s">
        <v>2463</v>
      </c>
    </row>
    <row r="818" spans="3:25" ht="18.75" hidden="1" x14ac:dyDescent="0.3">
      <c r="C818" s="322"/>
      <c r="D818" s="9"/>
      <c r="E818" s="9"/>
      <c r="F818" s="21" t="s">
        <v>75</v>
      </c>
      <c r="G818" s="20" t="s">
        <v>945</v>
      </c>
      <c r="H818" s="377" t="s">
        <v>1238</v>
      </c>
      <c r="I818" s="377"/>
      <c r="J818" s="377" t="s">
        <v>1239</v>
      </c>
      <c r="K818" s="377"/>
      <c r="L818" s="1"/>
      <c r="M818" s="2"/>
      <c r="N818" s="19">
        <v>8.5</v>
      </c>
      <c r="O818" s="22" t="str">
        <f t="shared" si="41"/>
        <v/>
      </c>
      <c r="P818" s="21" t="s">
        <v>443</v>
      </c>
      <c r="Q818" s="375" t="s">
        <v>224</v>
      </c>
      <c r="R818" s="375"/>
      <c r="S818" s="375"/>
      <c r="T818" s="93"/>
      <c r="U818" s="11"/>
      <c r="V818" s="320">
        <v>0</v>
      </c>
      <c r="W818" s="372" t="str">
        <f>IF(OR(G818="Collectors",G818="Special Pricing",G818="Boutique",G818="leafjoy littles",G818="Premium"),
    IF(V818&gt;0,"Show","Hide"),
    IF(V818 &gt;= _xlfn.XLOOKUP(F818,'Min table'!C$3:C$5,),"Show","Hide")
)</f>
        <v>Hide</v>
      </c>
      <c r="X818" s="317" t="s">
        <v>2464</v>
      </c>
      <c r="Y818" s="317" t="s">
        <v>2464</v>
      </c>
    </row>
    <row r="819" spans="3:25" ht="18.75" hidden="1" x14ac:dyDescent="0.3">
      <c r="C819" s="322"/>
      <c r="D819" s="9"/>
      <c r="E819" s="9"/>
      <c r="F819" s="21" t="s">
        <v>75</v>
      </c>
      <c r="G819" s="20" t="s">
        <v>991</v>
      </c>
      <c r="H819" s="377" t="s">
        <v>1240</v>
      </c>
      <c r="I819" s="377"/>
      <c r="J819" s="377" t="s">
        <v>1241</v>
      </c>
      <c r="K819" s="377"/>
      <c r="L819" s="1"/>
      <c r="M819" s="2"/>
      <c r="N819" s="19">
        <v>20</v>
      </c>
      <c r="O819" s="22" t="str">
        <f t="shared" si="41"/>
        <v/>
      </c>
      <c r="P819" s="21" t="s">
        <v>448</v>
      </c>
      <c r="Q819" s="375" t="s">
        <v>341</v>
      </c>
      <c r="R819" s="375"/>
      <c r="S819" s="375"/>
      <c r="T819" s="93"/>
      <c r="U819" s="11"/>
      <c r="V819" s="320">
        <v>0</v>
      </c>
      <c r="W819" s="372" t="str">
        <f>IF(OR(G819="Collectors",G819="Special Pricing",G819="Boutique",G819="leafjoy littles",G819="Premium"),
    IF(V819&gt;0,"Show","Hide"),
    IF(V819 &gt;= _xlfn.XLOOKUP(F819,'Min table'!C$3:C$5,),"Show","Hide")
)</f>
        <v>Hide</v>
      </c>
      <c r="X819" s="317" t="s">
        <v>2465</v>
      </c>
      <c r="Y819" s="317" t="s">
        <v>2465</v>
      </c>
    </row>
    <row r="820" spans="3:25" ht="18.75" hidden="1" x14ac:dyDescent="0.3">
      <c r="C820" s="322"/>
      <c r="D820" s="9"/>
      <c r="E820" s="9"/>
      <c r="F820" s="21" t="s">
        <v>75</v>
      </c>
      <c r="G820" s="20" t="s">
        <v>991</v>
      </c>
      <c r="H820" s="377" t="s">
        <v>1242</v>
      </c>
      <c r="I820" s="377"/>
      <c r="J820" s="377" t="s">
        <v>1243</v>
      </c>
      <c r="K820" s="377"/>
      <c r="L820" s="1"/>
      <c r="M820" s="2"/>
      <c r="N820" s="19">
        <v>20</v>
      </c>
      <c r="O820" s="22" t="str">
        <f t="shared" si="41"/>
        <v/>
      </c>
      <c r="P820" s="19" t="s">
        <v>1244</v>
      </c>
      <c r="Q820" s="375" t="s">
        <v>341</v>
      </c>
      <c r="R820" s="375"/>
      <c r="S820" s="375"/>
      <c r="T820" s="93"/>
      <c r="U820" s="11"/>
      <c r="V820" s="320">
        <v>0</v>
      </c>
      <c r="W820" s="372" t="str">
        <f>IF(OR(G820="Collectors",G820="Special Pricing",G820="Boutique",G820="leafjoy littles",G820="Premium"),
    IF(V820&gt;0,"Show","Hide"),
    IF(V820 &gt;= _xlfn.XLOOKUP(F820,'Min table'!C$3:C$5,),"Show","Hide")
)</f>
        <v>Hide</v>
      </c>
      <c r="X820" s="317" t="s">
        <v>2466</v>
      </c>
      <c r="Y820" s="317" t="s">
        <v>2466</v>
      </c>
    </row>
    <row r="821" spans="3:25" ht="18.75" hidden="1" x14ac:dyDescent="0.3">
      <c r="C821" s="322"/>
      <c r="D821" s="9"/>
      <c r="E821" s="9"/>
      <c r="F821" s="21" t="s">
        <v>75</v>
      </c>
      <c r="G821" s="20" t="s">
        <v>991</v>
      </c>
      <c r="H821" s="377" t="s">
        <v>1245</v>
      </c>
      <c r="I821" s="377"/>
      <c r="J821" s="377" t="s">
        <v>1246</v>
      </c>
      <c r="K821" s="377"/>
      <c r="L821" s="1"/>
      <c r="M821" s="2"/>
      <c r="N821" s="19">
        <v>20</v>
      </c>
      <c r="O821" s="22" t="str">
        <f t="shared" si="41"/>
        <v/>
      </c>
      <c r="P821" s="19" t="s">
        <v>349</v>
      </c>
      <c r="Q821" s="375" t="s">
        <v>341</v>
      </c>
      <c r="R821" s="375"/>
      <c r="S821" s="375"/>
      <c r="T821" s="93"/>
      <c r="U821" s="11"/>
      <c r="V821" s="320">
        <v>4</v>
      </c>
      <c r="W821" s="372" t="str">
        <f>IF(OR(G821="Collectors",G821="Special Pricing",G821="Boutique",G821="leafjoy littles",G821="Premium"),
    IF(V821&gt;0,"Show","Hide"),
    IF(V821 &gt;= _xlfn.XLOOKUP(F821,'Min table'!C$3:C$5,),"Show","Hide")
)</f>
        <v>Show</v>
      </c>
      <c r="X821" s="317" t="s">
        <v>2467</v>
      </c>
      <c r="Y821" s="317" t="s">
        <v>2467</v>
      </c>
    </row>
    <row r="822" spans="3:25" ht="18.75" hidden="1" x14ac:dyDescent="0.3">
      <c r="C822" s="322"/>
      <c r="D822" s="9"/>
      <c r="E822" s="9"/>
      <c r="F822" s="21" t="s">
        <v>75</v>
      </c>
      <c r="G822" s="20" t="s">
        <v>945</v>
      </c>
      <c r="H822" s="377" t="s">
        <v>1247</v>
      </c>
      <c r="I822" s="377"/>
      <c r="J822" s="377" t="s">
        <v>1248</v>
      </c>
      <c r="K822" s="377"/>
      <c r="L822" s="1"/>
      <c r="M822" s="2"/>
      <c r="N822" s="19">
        <v>8.5</v>
      </c>
      <c r="O822" s="22" t="str">
        <f t="shared" si="41"/>
        <v/>
      </c>
      <c r="P822" s="19" t="s">
        <v>1864</v>
      </c>
      <c r="Q822" s="375" t="s">
        <v>224</v>
      </c>
      <c r="R822" s="375"/>
      <c r="S822" s="375"/>
      <c r="T822" s="93"/>
      <c r="U822" s="11"/>
      <c r="V822" s="320">
        <v>0</v>
      </c>
      <c r="W822" s="372" t="str">
        <f>IF(OR(G822="Collectors",G822="Special Pricing",G822="Boutique",G822="leafjoy littles",G822="Premium"),
    IF(V822&gt;0,"Show","Hide"),
    IF(V822 &gt;= _xlfn.XLOOKUP(F822,'Min table'!C$3:C$5,),"Show","Hide")
)</f>
        <v>Hide</v>
      </c>
      <c r="X822" s="317" t="s">
        <v>2468</v>
      </c>
      <c r="Y822" s="317" t="s">
        <v>2468</v>
      </c>
    </row>
    <row r="823" spans="3:25" ht="18.75" hidden="1" x14ac:dyDescent="0.3">
      <c r="C823" s="322"/>
      <c r="D823" s="9"/>
      <c r="E823" s="9"/>
      <c r="F823" s="21" t="s">
        <v>75</v>
      </c>
      <c r="G823" s="20" t="s">
        <v>945</v>
      </c>
      <c r="H823" s="377" t="s">
        <v>1249</v>
      </c>
      <c r="I823" s="377"/>
      <c r="J823" s="377" t="s">
        <v>1250</v>
      </c>
      <c r="K823" s="377"/>
      <c r="L823" s="1"/>
      <c r="M823" s="2"/>
      <c r="N823" s="19">
        <v>8.5</v>
      </c>
      <c r="O823" s="22" t="str">
        <f t="shared" si="41"/>
        <v/>
      </c>
      <c r="P823" s="19" t="s">
        <v>1251</v>
      </c>
      <c r="Q823" s="375" t="s">
        <v>224</v>
      </c>
      <c r="R823" s="375"/>
      <c r="S823" s="375"/>
      <c r="T823" s="93"/>
      <c r="U823" s="11"/>
      <c r="V823" s="320">
        <v>0</v>
      </c>
      <c r="W823" s="372" t="str">
        <f>IF(OR(G823="Collectors",G823="Special Pricing",G823="Boutique",G823="leafjoy littles",G823="Premium"),
    IF(V823&gt;0,"Show","Hide"),
    IF(V823 &gt;= _xlfn.XLOOKUP(F823,'Min table'!C$3:C$5,),"Show","Hide")
)</f>
        <v>Hide</v>
      </c>
      <c r="X823" s="317" t="s">
        <v>2469</v>
      </c>
      <c r="Y823" s="317" t="s">
        <v>2469</v>
      </c>
    </row>
    <row r="824" spans="3:25" ht="18.75" hidden="1" x14ac:dyDescent="0.3">
      <c r="C824" s="322"/>
      <c r="D824" s="9"/>
      <c r="E824" s="9"/>
      <c r="F824" s="21" t="s">
        <v>75</v>
      </c>
      <c r="G824" s="20" t="s">
        <v>945</v>
      </c>
      <c r="H824" s="377" t="s">
        <v>1252</v>
      </c>
      <c r="I824" s="377"/>
      <c r="J824" s="377" t="s">
        <v>1253</v>
      </c>
      <c r="K824" s="377"/>
      <c r="L824" s="1"/>
      <c r="M824" s="2"/>
      <c r="N824" s="19">
        <v>8.5</v>
      </c>
      <c r="O824" s="22" t="str">
        <f t="shared" si="41"/>
        <v/>
      </c>
      <c r="P824" s="19" t="s">
        <v>1034</v>
      </c>
      <c r="Q824" s="375" t="s">
        <v>224</v>
      </c>
      <c r="R824" s="375"/>
      <c r="S824" s="375"/>
      <c r="T824" s="93"/>
      <c r="U824" s="11"/>
      <c r="V824" s="320">
        <v>0</v>
      </c>
      <c r="W824" s="372" t="str">
        <f>IF(OR(G824="Collectors",G824="Special Pricing",G824="Boutique",G824="leafjoy littles",G824="Premium"),
    IF(V824&gt;0,"Show","Hide"),
    IF(V824 &gt;= _xlfn.XLOOKUP(F824,'Min table'!C$3:C$5,),"Show","Hide")
)</f>
        <v>Hide</v>
      </c>
      <c r="X824" s="342" t="s">
        <v>2470</v>
      </c>
      <c r="Y824" s="317" t="s">
        <v>2470</v>
      </c>
    </row>
    <row r="825" spans="3:25" ht="18.75" hidden="1" x14ac:dyDescent="0.3">
      <c r="C825" s="322"/>
      <c r="D825" s="9"/>
      <c r="E825" s="9"/>
      <c r="F825" s="21" t="s">
        <v>75</v>
      </c>
      <c r="G825" s="20" t="s">
        <v>945</v>
      </c>
      <c r="H825" s="377" t="s">
        <v>1254</v>
      </c>
      <c r="I825" s="377"/>
      <c r="J825" s="377" t="s">
        <v>1255</v>
      </c>
      <c r="K825" s="377"/>
      <c r="L825" s="1"/>
      <c r="M825" s="2"/>
      <c r="N825" s="19">
        <v>8.5</v>
      </c>
      <c r="O825" s="22" t="str">
        <f t="shared" si="41"/>
        <v/>
      </c>
      <c r="P825" s="19" t="s">
        <v>1256</v>
      </c>
      <c r="Q825" s="375" t="s">
        <v>224</v>
      </c>
      <c r="R825" s="375"/>
      <c r="S825" s="375"/>
      <c r="T825" s="93"/>
      <c r="U825" s="11"/>
      <c r="V825" s="320">
        <v>0</v>
      </c>
      <c r="W825" s="372" t="str">
        <f>IF(OR(G825="Collectors",G825="Special Pricing",G825="Boutique",G825="leafjoy littles",G825="Premium"),
    IF(V825&gt;0,"Show","Hide"),
    IF(V825 &gt;= _xlfn.XLOOKUP(F825,'Min table'!C$3:C$5,),"Show","Hide")
)</f>
        <v>Hide</v>
      </c>
      <c r="X825" s="317" t="s">
        <v>2471</v>
      </c>
      <c r="Y825" s="317" t="s">
        <v>2471</v>
      </c>
    </row>
    <row r="826" spans="3:25" ht="18.75" hidden="1" x14ac:dyDescent="0.3">
      <c r="C826" s="322"/>
      <c r="D826" s="9"/>
      <c r="E826" s="9"/>
      <c r="F826" s="21" t="s">
        <v>75</v>
      </c>
      <c r="G826" s="20" t="s">
        <v>945</v>
      </c>
      <c r="H826" s="377" t="s">
        <v>1257</v>
      </c>
      <c r="I826" s="377"/>
      <c r="J826" s="377" t="s">
        <v>1258</v>
      </c>
      <c r="K826" s="377"/>
      <c r="L826" s="1"/>
      <c r="M826" s="2"/>
      <c r="N826" s="19">
        <v>8.5</v>
      </c>
      <c r="O826" s="22" t="str">
        <f t="shared" si="41"/>
        <v/>
      </c>
      <c r="P826" s="19" t="s">
        <v>1259</v>
      </c>
      <c r="Q826" s="375" t="s">
        <v>224</v>
      </c>
      <c r="R826" s="375"/>
      <c r="S826" s="375"/>
      <c r="T826" s="93"/>
      <c r="U826" s="11"/>
      <c r="V826" s="320">
        <v>0</v>
      </c>
      <c r="W826" s="372" t="str">
        <f>IF(OR(G826="Collectors",G826="Special Pricing",G826="Boutique",G826="leafjoy littles",G826="Premium"),
    IF(V826&gt;0,"Show","Hide"),
    IF(V826 &gt;= _xlfn.XLOOKUP(F826,'Min table'!C$3:C$5,),"Show","Hide")
)</f>
        <v>Hide</v>
      </c>
      <c r="X826" s="317" t="s">
        <v>2472</v>
      </c>
      <c r="Y826" s="317" t="s">
        <v>2472</v>
      </c>
    </row>
    <row r="827" spans="3:25" ht="18.75" hidden="1" x14ac:dyDescent="0.3">
      <c r="C827" s="322"/>
      <c r="D827" s="9"/>
      <c r="E827" s="9"/>
      <c r="F827" s="21" t="s">
        <v>75</v>
      </c>
      <c r="G827" s="20" t="s">
        <v>945</v>
      </c>
      <c r="H827" s="377" t="s">
        <v>1260</v>
      </c>
      <c r="I827" s="377"/>
      <c r="J827" s="377" t="s">
        <v>1261</v>
      </c>
      <c r="K827" s="377"/>
      <c r="L827" s="1"/>
      <c r="M827" s="2"/>
      <c r="N827" s="19">
        <v>8.5</v>
      </c>
      <c r="O827" s="22" t="str">
        <f t="shared" si="41"/>
        <v/>
      </c>
      <c r="P827" s="19" t="s">
        <v>1016</v>
      </c>
      <c r="Q827" s="375" t="s">
        <v>224</v>
      </c>
      <c r="R827" s="375"/>
      <c r="S827" s="375"/>
      <c r="T827" s="93"/>
      <c r="U827" s="11"/>
      <c r="V827" s="320">
        <v>0</v>
      </c>
      <c r="W827" s="372" t="str">
        <f>IF(OR(G827="Collectors",G827="Special Pricing",G827="Boutique",G827="leafjoy littles",G827="Premium"),
    IF(V827&gt;0,"Show","Hide"),
    IF(V827 &gt;= _xlfn.XLOOKUP(F827,'Min table'!C$3:C$5,),"Show","Hide")
)</f>
        <v>Hide</v>
      </c>
      <c r="X827" s="317" t="s">
        <v>2473</v>
      </c>
      <c r="Y827" s="317" t="s">
        <v>2473</v>
      </c>
    </row>
    <row r="828" spans="3:25" ht="18.75" hidden="1" x14ac:dyDescent="0.3">
      <c r="C828" s="322"/>
      <c r="D828" s="9"/>
      <c r="E828" s="9"/>
      <c r="F828" s="21" t="s">
        <v>75</v>
      </c>
      <c r="G828" s="20" t="s">
        <v>945</v>
      </c>
      <c r="H828" s="377" t="s">
        <v>1262</v>
      </c>
      <c r="I828" s="377"/>
      <c r="J828" s="377" t="s">
        <v>1263</v>
      </c>
      <c r="K828" s="377"/>
      <c r="L828" s="1"/>
      <c r="M828" s="2"/>
      <c r="N828" s="19">
        <v>8.5</v>
      </c>
      <c r="O828" s="22" t="str">
        <f t="shared" ref="O828:O845" si="42">IF(AND(L828="",M828=""),"",(L828*N828)+(M828*(N828+2.25)))</f>
        <v/>
      </c>
      <c r="P828" s="19" t="s">
        <v>1016</v>
      </c>
      <c r="Q828" s="375" t="s">
        <v>224</v>
      </c>
      <c r="R828" s="375"/>
      <c r="S828" s="375"/>
      <c r="T828" s="93"/>
      <c r="U828" s="11"/>
      <c r="V828" s="320">
        <v>0</v>
      </c>
      <c r="W828" s="372" t="str">
        <f>IF(OR(G828="Collectors",G828="Special Pricing",G828="Boutique",G828="leafjoy littles",G828="Premium"),
    IF(V828&gt;0,"Show","Hide"),
    IF(V828 &gt;= _xlfn.XLOOKUP(F828,'Min table'!C$3:C$5,),"Show","Hide")
)</f>
        <v>Hide</v>
      </c>
      <c r="X828" s="317" t="s">
        <v>2474</v>
      </c>
      <c r="Y828" s="317" t="s">
        <v>2474</v>
      </c>
    </row>
    <row r="829" spans="3:25" ht="18.75" hidden="1" x14ac:dyDescent="0.3">
      <c r="C829" s="322"/>
      <c r="D829" s="9"/>
      <c r="E829" s="9"/>
      <c r="F829" s="21" t="s">
        <v>75</v>
      </c>
      <c r="G829" s="20" t="s">
        <v>945</v>
      </c>
      <c r="H829" s="377" t="s">
        <v>1264</v>
      </c>
      <c r="I829" s="377"/>
      <c r="J829" s="377" t="s">
        <v>1265</v>
      </c>
      <c r="K829" s="377"/>
      <c r="L829" s="1"/>
      <c r="M829" s="2"/>
      <c r="N829" s="19">
        <v>8.5</v>
      </c>
      <c r="O829" s="22" t="str">
        <f t="shared" si="42"/>
        <v/>
      </c>
      <c r="P829" s="19" t="s">
        <v>1016</v>
      </c>
      <c r="Q829" s="375" t="s">
        <v>224</v>
      </c>
      <c r="R829" s="375"/>
      <c r="S829" s="375"/>
      <c r="T829" s="93"/>
      <c r="U829" s="11"/>
      <c r="V829" s="320">
        <v>0</v>
      </c>
      <c r="W829" s="372" t="str">
        <f>IF(OR(G829="Collectors",G829="Special Pricing",G829="Boutique",G829="leafjoy littles",G829="Premium"),
    IF(V829&gt;0,"Show","Hide"),
    IF(V829 &gt;= _xlfn.XLOOKUP(F829,'Min table'!C$3:C$5,),"Show","Hide")
)</f>
        <v>Hide</v>
      </c>
      <c r="X829" s="317" t="s">
        <v>2475</v>
      </c>
      <c r="Y829" s="317" t="s">
        <v>2475</v>
      </c>
    </row>
    <row r="830" spans="3:25" ht="18.75" hidden="1" x14ac:dyDescent="0.3">
      <c r="C830" s="322"/>
      <c r="D830" s="9"/>
      <c r="E830" s="9"/>
      <c r="F830" s="21" t="s">
        <v>75</v>
      </c>
      <c r="G830" s="20" t="s">
        <v>945</v>
      </c>
      <c r="H830" s="377" t="s">
        <v>1266</v>
      </c>
      <c r="I830" s="377"/>
      <c r="J830" s="377" t="s">
        <v>1267</v>
      </c>
      <c r="K830" s="377"/>
      <c r="L830" s="1"/>
      <c r="M830" s="2"/>
      <c r="N830" s="19">
        <v>8.5</v>
      </c>
      <c r="O830" s="22" t="str">
        <f t="shared" si="42"/>
        <v/>
      </c>
      <c r="P830" s="19" t="s">
        <v>1016</v>
      </c>
      <c r="Q830" s="375" t="s">
        <v>224</v>
      </c>
      <c r="R830" s="375"/>
      <c r="S830" s="375"/>
      <c r="T830" s="93"/>
      <c r="U830" s="11"/>
      <c r="V830" s="320">
        <v>0</v>
      </c>
      <c r="W830" s="372" t="str">
        <f>IF(OR(G830="Collectors",G830="Special Pricing",G830="Boutique",G830="leafjoy littles",G830="Premium"),
    IF(V830&gt;0,"Show","Hide"),
    IF(V830 &gt;= _xlfn.XLOOKUP(F830,'Min table'!C$3:C$5,),"Show","Hide")
)</f>
        <v>Hide</v>
      </c>
      <c r="X830" s="317" t="s">
        <v>2476</v>
      </c>
      <c r="Y830" s="317" t="s">
        <v>2476</v>
      </c>
    </row>
    <row r="831" spans="3:25" ht="18.75" x14ac:dyDescent="0.3">
      <c r="C831" s="322"/>
      <c r="D831" s="9"/>
      <c r="E831" s="9"/>
      <c r="F831" s="21" t="s">
        <v>75</v>
      </c>
      <c r="G831" s="20" t="s">
        <v>945</v>
      </c>
      <c r="H831" s="376" t="s">
        <v>1268</v>
      </c>
      <c r="I831" s="376"/>
      <c r="J831" s="376" t="s">
        <v>1269</v>
      </c>
      <c r="K831" s="376"/>
      <c r="L831" s="1"/>
      <c r="M831" s="2"/>
      <c r="N831" s="19">
        <v>8.5</v>
      </c>
      <c r="O831" s="22" t="str">
        <f t="shared" si="42"/>
        <v/>
      </c>
      <c r="P831" s="19" t="s">
        <v>1016</v>
      </c>
      <c r="Q831" s="375" t="s">
        <v>224</v>
      </c>
      <c r="R831" s="375"/>
      <c r="S831" s="375"/>
      <c r="T831" s="93"/>
      <c r="U831" s="11"/>
      <c r="V831" s="320">
        <v>30</v>
      </c>
      <c r="W831" s="372" t="str">
        <f>IF(OR(G831="Collectors",G831="Special Pricing",G831="Boutique",G831="leafjoy littles",G831="Premium"),
    IF(V831&gt;0,"Show","Hide"),
    IF(V831 &gt;= _xlfn.XLOOKUP(F831,'Min table'!C$3:C$5,),"Show","Hide")
)</f>
        <v>Show</v>
      </c>
      <c r="X831" s="317" t="s">
        <v>2477</v>
      </c>
      <c r="Y831" s="317" t="s">
        <v>2477</v>
      </c>
    </row>
    <row r="832" spans="3:25" ht="18.75" hidden="1" x14ac:dyDescent="0.3">
      <c r="C832" s="322"/>
      <c r="D832" s="9"/>
      <c r="E832" s="9"/>
      <c r="F832" s="21" t="s">
        <v>75</v>
      </c>
      <c r="G832" s="20" t="s">
        <v>945</v>
      </c>
      <c r="H832" s="377" t="s">
        <v>1270</v>
      </c>
      <c r="I832" s="377"/>
      <c r="J832" s="377" t="s">
        <v>1271</v>
      </c>
      <c r="K832" s="377"/>
      <c r="L832" s="1"/>
      <c r="M832" s="2"/>
      <c r="N832" s="19">
        <v>8.5</v>
      </c>
      <c r="O832" s="22" t="str">
        <f t="shared" si="42"/>
        <v/>
      </c>
      <c r="P832" s="19" t="s">
        <v>1016</v>
      </c>
      <c r="Q832" s="375" t="s">
        <v>224</v>
      </c>
      <c r="R832" s="375"/>
      <c r="S832" s="375"/>
      <c r="T832" s="93"/>
      <c r="U832" s="11"/>
      <c r="V832" s="320">
        <v>17</v>
      </c>
      <c r="W832" s="372" t="str">
        <f>IF(OR(G832="Collectors",G832="Special Pricing",G832="Boutique",G832="leafjoy littles",G832="Premium"),
    IF(V832&gt;0,"Show","Hide"),
    IF(V832 &gt;= _xlfn.XLOOKUP(F832,'Min table'!C$3:C$5,),"Show","Hide")
)</f>
        <v>Show</v>
      </c>
      <c r="X832" s="317" t="s">
        <v>2478</v>
      </c>
      <c r="Y832" s="317" t="s">
        <v>2478</v>
      </c>
    </row>
    <row r="833" spans="3:25" ht="18.75" hidden="1" x14ac:dyDescent="0.3">
      <c r="C833" s="322"/>
      <c r="D833" s="9"/>
      <c r="E833" s="9"/>
      <c r="F833" s="21" t="s">
        <v>75</v>
      </c>
      <c r="G833" s="20" t="s">
        <v>945</v>
      </c>
      <c r="H833" s="377" t="s">
        <v>1272</v>
      </c>
      <c r="I833" s="377"/>
      <c r="J833" s="377" t="s">
        <v>1273</v>
      </c>
      <c r="K833" s="377"/>
      <c r="L833" s="1"/>
      <c r="M833" s="2"/>
      <c r="N833" s="19">
        <v>8.5</v>
      </c>
      <c r="O833" s="22" t="str">
        <f t="shared" si="42"/>
        <v/>
      </c>
      <c r="P833" s="19" t="s">
        <v>1016</v>
      </c>
      <c r="Q833" s="375" t="s">
        <v>224</v>
      </c>
      <c r="R833" s="375"/>
      <c r="S833" s="375"/>
      <c r="T833" s="93"/>
      <c r="U833" s="11"/>
      <c r="V833" s="320">
        <v>0</v>
      </c>
      <c r="W833" s="372" t="str">
        <f>IF(OR(G833="Collectors",G833="Special Pricing",G833="Boutique",G833="leafjoy littles",G833="Premium"),
    IF(V833&gt;0,"Show","Hide"),
    IF(V833 &gt;= _xlfn.XLOOKUP(F833,'Min table'!C$3:C$5,),"Show","Hide")
)</f>
        <v>Hide</v>
      </c>
      <c r="X833" s="317" t="s">
        <v>2479</v>
      </c>
      <c r="Y833" s="317" t="s">
        <v>2479</v>
      </c>
    </row>
    <row r="834" spans="3:25" ht="18.75" hidden="1" x14ac:dyDescent="0.3">
      <c r="C834" s="322"/>
      <c r="D834" s="9"/>
      <c r="E834" s="9"/>
      <c r="F834" s="21" t="s">
        <v>75</v>
      </c>
      <c r="G834" s="20" t="s">
        <v>945</v>
      </c>
      <c r="H834" s="377" t="s">
        <v>2272</v>
      </c>
      <c r="I834" s="377" t="s">
        <v>2272</v>
      </c>
      <c r="J834" s="377"/>
      <c r="K834" s="377"/>
      <c r="L834" s="1"/>
      <c r="M834" s="2"/>
      <c r="N834" s="19">
        <v>8.5</v>
      </c>
      <c r="O834" s="22" t="str">
        <f t="shared" si="42"/>
        <v/>
      </c>
      <c r="P834" s="19" t="s">
        <v>1016</v>
      </c>
      <c r="Q834" s="375" t="s">
        <v>224</v>
      </c>
      <c r="R834" s="375"/>
      <c r="S834" s="375"/>
      <c r="T834" s="93"/>
      <c r="U834" s="11"/>
      <c r="V834" s="320">
        <v>0</v>
      </c>
      <c r="W834" s="372" t="str">
        <f>IF(OR(G834="Collectors",G834="Special Pricing",G834="Boutique",G834="leafjoy littles",G834="Premium"),
    IF(V834&gt;0,"Show","Hide"),
    IF(V834 &gt;= _xlfn.XLOOKUP(F834,'Min table'!C$3:C$5,),"Show","Hide")
)</f>
        <v>Hide</v>
      </c>
      <c r="X834" s="317" t="s">
        <v>2480</v>
      </c>
      <c r="Y834" s="317" t="s">
        <v>2480</v>
      </c>
    </row>
    <row r="835" spans="3:25" ht="18.75" hidden="1" x14ac:dyDescent="0.3">
      <c r="C835" s="322"/>
      <c r="D835" s="9"/>
      <c r="E835" s="9"/>
      <c r="F835" s="21" t="s">
        <v>75</v>
      </c>
      <c r="G835" s="20" t="s">
        <v>942</v>
      </c>
      <c r="H835" s="377" t="s">
        <v>1274</v>
      </c>
      <c r="I835" s="377"/>
      <c r="J835" s="377" t="s">
        <v>1275</v>
      </c>
      <c r="K835" s="377"/>
      <c r="L835" s="1"/>
      <c r="M835" s="2"/>
      <c r="N835" s="19">
        <v>11.5</v>
      </c>
      <c r="O835" s="22" t="str">
        <f t="shared" si="42"/>
        <v/>
      </c>
      <c r="P835" s="21" t="s">
        <v>1016</v>
      </c>
      <c r="Q835" s="375" t="s">
        <v>242</v>
      </c>
      <c r="R835" s="375"/>
      <c r="S835" s="375"/>
      <c r="T835" s="106"/>
      <c r="U835" s="11"/>
      <c r="V835" s="320">
        <v>0</v>
      </c>
      <c r="W835" s="372" t="str">
        <f>IF(OR(G835="Collectors",G835="Special Pricing",G835="Boutique",G835="leafjoy littles",G835="Premium"),
    IF(V835&gt;0,"Show","Hide"),
    IF(V835 &gt;= _xlfn.XLOOKUP(F835,'Min table'!C$3:C$5,),"Show","Hide")
)</f>
        <v>Hide</v>
      </c>
      <c r="X835" s="317" t="s">
        <v>2481</v>
      </c>
      <c r="Y835" s="317" t="s">
        <v>2481</v>
      </c>
    </row>
    <row r="836" spans="3:25" ht="18.75" hidden="1" x14ac:dyDescent="0.3">
      <c r="C836" s="322"/>
      <c r="D836" s="9"/>
      <c r="E836" s="9"/>
      <c r="F836" s="21" t="s">
        <v>75</v>
      </c>
      <c r="G836" s="20" t="s">
        <v>945</v>
      </c>
      <c r="H836" s="377" t="s">
        <v>1276</v>
      </c>
      <c r="I836" s="377"/>
      <c r="J836" s="377" t="s">
        <v>1277</v>
      </c>
      <c r="K836" s="377"/>
      <c r="L836" s="1"/>
      <c r="M836" s="2"/>
      <c r="N836" s="19">
        <v>8.5</v>
      </c>
      <c r="O836" s="22" t="str">
        <f t="shared" si="42"/>
        <v/>
      </c>
      <c r="P836" s="21" t="s">
        <v>1016</v>
      </c>
      <c r="Q836" s="375" t="s">
        <v>224</v>
      </c>
      <c r="R836" s="375"/>
      <c r="S836" s="375"/>
      <c r="T836" s="93"/>
      <c r="U836" s="11"/>
      <c r="V836" s="320">
        <v>10</v>
      </c>
      <c r="W836" s="372" t="str">
        <f>IF(OR(G836="Collectors",G836="Special Pricing",G836="Boutique",G836="leafjoy littles",G836="Premium"),
    IF(V836&gt;0,"Show","Hide"),
    IF(V836 &gt;= _xlfn.XLOOKUP(F836,'Min table'!C$3:C$5,),"Show","Hide")
)</f>
        <v>Show</v>
      </c>
      <c r="X836" s="317" t="s">
        <v>2482</v>
      </c>
      <c r="Y836" s="317" t="s">
        <v>2482</v>
      </c>
    </row>
    <row r="837" spans="3:25" ht="18.75" hidden="1" x14ac:dyDescent="0.3">
      <c r="C837" s="322"/>
      <c r="D837" s="9"/>
      <c r="E837" s="9"/>
      <c r="F837" s="21" t="s">
        <v>75</v>
      </c>
      <c r="G837" s="20" t="s">
        <v>945</v>
      </c>
      <c r="H837" s="377" t="s">
        <v>1278</v>
      </c>
      <c r="I837" s="377"/>
      <c r="J837" s="377" t="s">
        <v>1279</v>
      </c>
      <c r="K837" s="377"/>
      <c r="L837" s="1"/>
      <c r="M837" s="2"/>
      <c r="N837" s="19">
        <v>8.5</v>
      </c>
      <c r="O837" s="22" t="str">
        <f t="shared" si="42"/>
        <v/>
      </c>
      <c r="P837" s="21" t="s">
        <v>1016</v>
      </c>
      <c r="Q837" s="375" t="s">
        <v>224</v>
      </c>
      <c r="R837" s="375"/>
      <c r="S837" s="375"/>
      <c r="T837" s="93"/>
      <c r="U837" s="11"/>
      <c r="V837" s="320">
        <v>0</v>
      </c>
      <c r="W837" s="372" t="str">
        <f>IF(OR(G837="Collectors",G837="Special Pricing",G837="Boutique",G837="leafjoy littles",G837="Premium"),
    IF(V837&gt;0,"Show","Hide"),
    IF(V837 &gt;= _xlfn.XLOOKUP(F837,'Min table'!C$3:C$5,),"Show","Hide")
)</f>
        <v>Hide</v>
      </c>
      <c r="X837" s="317" t="s">
        <v>2483</v>
      </c>
      <c r="Y837" s="317" t="s">
        <v>2483</v>
      </c>
    </row>
    <row r="838" spans="3:25" ht="18.75" hidden="1" x14ac:dyDescent="0.3">
      <c r="C838" s="322"/>
      <c r="D838" s="9"/>
      <c r="E838" s="9"/>
      <c r="F838" s="21" t="s">
        <v>75</v>
      </c>
      <c r="G838" s="20" t="s">
        <v>945</v>
      </c>
      <c r="H838" s="377" t="s">
        <v>1821</v>
      </c>
      <c r="I838" s="377"/>
      <c r="J838" s="377"/>
      <c r="K838" s="377"/>
      <c r="L838" s="1"/>
      <c r="M838" s="2"/>
      <c r="N838" s="19">
        <v>8.5</v>
      </c>
      <c r="O838" s="22" t="str">
        <f t="shared" si="42"/>
        <v/>
      </c>
      <c r="P838" s="19" t="s">
        <v>1862</v>
      </c>
      <c r="Q838" s="375" t="s">
        <v>224</v>
      </c>
      <c r="R838" s="375"/>
      <c r="S838" s="375"/>
      <c r="T838" s="106"/>
      <c r="U838" s="11"/>
      <c r="V838" s="320">
        <v>16</v>
      </c>
      <c r="W838" s="372" t="str">
        <f>IF(OR(G838="Collectors",G838="Special Pricing",G838="Boutique",G838="leafjoy littles",G838="Premium"),
    IF(V838&gt;0,"Show","Hide"),
    IF(V838 &gt;= _xlfn.XLOOKUP(F838,'Min table'!C$3:C$5,),"Show","Hide")
)</f>
        <v>Show</v>
      </c>
      <c r="X838" s="317" t="s">
        <v>2183</v>
      </c>
      <c r="Y838" s="317" t="s">
        <v>2484</v>
      </c>
    </row>
    <row r="839" spans="3:25" ht="18.75" hidden="1" x14ac:dyDescent="0.3">
      <c r="C839" s="322"/>
      <c r="D839" s="9"/>
      <c r="E839" s="9"/>
      <c r="F839" s="21" t="s">
        <v>75</v>
      </c>
      <c r="G839" s="20" t="s">
        <v>942</v>
      </c>
      <c r="H839" s="377" t="s">
        <v>1280</v>
      </c>
      <c r="I839" s="377"/>
      <c r="J839" s="377" t="s">
        <v>1281</v>
      </c>
      <c r="K839" s="377"/>
      <c r="L839" s="1"/>
      <c r="M839" s="2"/>
      <c r="N839" s="19">
        <v>11.5</v>
      </c>
      <c r="O839" s="22" t="str">
        <f t="shared" si="42"/>
        <v/>
      </c>
      <c r="P839" s="21" t="s">
        <v>1145</v>
      </c>
      <c r="Q839" s="375" t="s">
        <v>242</v>
      </c>
      <c r="R839" s="375"/>
      <c r="S839" s="375"/>
      <c r="T839" s="93"/>
      <c r="U839" s="11"/>
      <c r="V839" s="320">
        <v>0</v>
      </c>
      <c r="W839" s="372" t="str">
        <f>IF(OR(G839="Collectors",G839="Special Pricing",G839="Boutique",G839="leafjoy littles",G839="Premium"),
    IF(V839&gt;0,"Show","Hide"),
    IF(V839 &gt;= _xlfn.XLOOKUP(F839,'Min table'!C$3:C$5,),"Show","Hide")
)</f>
        <v>Hide</v>
      </c>
      <c r="X839" s="317" t="s">
        <v>2484</v>
      </c>
    </row>
    <row r="840" spans="3:25" ht="18.75" hidden="1" x14ac:dyDescent="0.3">
      <c r="C840" s="322"/>
      <c r="D840" s="9"/>
      <c r="E840" s="9"/>
      <c r="F840" s="21" t="s">
        <v>75</v>
      </c>
      <c r="G840" s="20" t="s">
        <v>942</v>
      </c>
      <c r="H840" s="414" t="s">
        <v>2782</v>
      </c>
      <c r="I840" s="414"/>
      <c r="J840" s="414"/>
      <c r="K840" s="414"/>
      <c r="L840" s="1"/>
      <c r="M840" s="2"/>
      <c r="N840" s="19">
        <v>11.5</v>
      </c>
      <c r="O840" s="22" t="str">
        <f t="shared" si="42"/>
        <v/>
      </c>
      <c r="P840" s="19" t="s">
        <v>1862</v>
      </c>
      <c r="Q840" s="375" t="s">
        <v>242</v>
      </c>
      <c r="R840" s="375"/>
      <c r="S840" s="375"/>
      <c r="T840" s="93"/>
      <c r="U840" s="11"/>
      <c r="V840" s="320">
        <v>0</v>
      </c>
      <c r="W840" s="372" t="str">
        <f>IF(OR(G840="Collectors",G840="Special Pricing",G840="Boutique",G840="leafjoy littles",G840="Premium"),
    IF(V840&gt;0,"Show","Hide"),
    IF(V840 &gt;= _xlfn.XLOOKUP(F840,'Min table'!C$3:C$5,),"Show","Hide")
)</f>
        <v>Hide</v>
      </c>
    </row>
    <row r="841" spans="3:25" ht="18.75" hidden="1" x14ac:dyDescent="0.3">
      <c r="C841" s="322"/>
      <c r="D841" s="9"/>
      <c r="E841" s="9"/>
      <c r="F841" s="21" t="s">
        <v>75</v>
      </c>
      <c r="G841" s="20" t="s">
        <v>1853</v>
      </c>
      <c r="H841" s="414" t="s">
        <v>2763</v>
      </c>
      <c r="I841" s="414"/>
      <c r="J841" s="414"/>
      <c r="K841" s="414"/>
      <c r="L841" s="1"/>
      <c r="M841" s="2"/>
      <c r="N841" s="19">
        <v>13.25</v>
      </c>
      <c r="O841" s="22" t="str">
        <f t="shared" si="42"/>
        <v/>
      </c>
      <c r="P841" s="19" t="s">
        <v>1862</v>
      </c>
      <c r="Q841" s="375" t="s">
        <v>242</v>
      </c>
      <c r="R841" s="375"/>
      <c r="S841" s="375"/>
      <c r="T841" s="93"/>
      <c r="U841" s="11"/>
      <c r="V841" s="320">
        <v>2</v>
      </c>
      <c r="W841" s="372" t="e">
        <f>IF(OR(G841="Collectors",G841="Special Pricing",G841="Boutique",G841="leafjoy littles",G841="Premium"),
    IF(V841&gt;0,"Show","Hide"),
    IF(V841 &gt;= _xlfn.XLOOKUP(F841,'Min table'!C$3:C$5,),"Show","Hide")
)</f>
        <v>#VALUE!</v>
      </c>
    </row>
    <row r="842" spans="3:25" ht="18.75" hidden="1" x14ac:dyDescent="0.3">
      <c r="C842" s="322"/>
      <c r="D842" s="9"/>
      <c r="E842" s="9"/>
      <c r="F842" s="21" t="s">
        <v>75</v>
      </c>
      <c r="G842" s="20" t="s">
        <v>945</v>
      </c>
      <c r="H842" s="377" t="s">
        <v>1282</v>
      </c>
      <c r="I842" s="377"/>
      <c r="J842" s="377" t="s">
        <v>1283</v>
      </c>
      <c r="K842" s="377"/>
      <c r="L842" s="1"/>
      <c r="M842" s="2"/>
      <c r="N842" s="19">
        <v>8.5</v>
      </c>
      <c r="O842" s="22" t="str">
        <f t="shared" si="42"/>
        <v/>
      </c>
      <c r="P842" s="19" t="s">
        <v>1862</v>
      </c>
      <c r="Q842" s="375" t="s">
        <v>224</v>
      </c>
      <c r="R842" s="375"/>
      <c r="S842" s="375"/>
      <c r="T842" s="93"/>
      <c r="U842" s="11"/>
      <c r="V842" s="320">
        <v>0</v>
      </c>
      <c r="W842" s="372" t="str">
        <f>IF(OR(G842="Collectors",G842="Special Pricing",G842="Boutique",G842="leafjoy littles",G842="Premium"),
    IF(V842&gt;0,"Show","Hide"),
    IF(V842 &gt;= _xlfn.XLOOKUP(F842,'Min table'!C$3:C$5,),"Show","Hide")
)</f>
        <v>Hide</v>
      </c>
      <c r="X842" s="317" t="s">
        <v>2485</v>
      </c>
      <c r="Y842" s="317" t="s">
        <v>2485</v>
      </c>
    </row>
    <row r="843" spans="3:25" ht="18.75" hidden="1" x14ac:dyDescent="0.3">
      <c r="C843" s="322"/>
      <c r="D843" s="9"/>
      <c r="E843" s="9"/>
      <c r="F843" s="21" t="s">
        <v>75</v>
      </c>
      <c r="G843" s="20" t="s">
        <v>945</v>
      </c>
      <c r="H843" s="377" t="s">
        <v>1284</v>
      </c>
      <c r="I843" s="377"/>
      <c r="J843" s="377" t="s">
        <v>1285</v>
      </c>
      <c r="K843" s="377"/>
      <c r="L843" s="1"/>
      <c r="M843" s="2"/>
      <c r="N843" s="19">
        <v>8.5</v>
      </c>
      <c r="O843" s="22" t="str">
        <f t="shared" si="42"/>
        <v/>
      </c>
      <c r="P843" s="21" t="s">
        <v>349</v>
      </c>
      <c r="Q843" s="375" t="s">
        <v>224</v>
      </c>
      <c r="R843" s="375"/>
      <c r="S843" s="375"/>
      <c r="T843" s="93"/>
      <c r="U843" s="11"/>
      <c r="V843" s="320">
        <v>0</v>
      </c>
      <c r="W843" s="372" t="str">
        <f>IF(OR(G843="Collectors",G843="Special Pricing",G843="Boutique",G843="leafjoy littles",G843="Premium"),
    IF(V843&gt;0,"Show","Hide"),
    IF(V843 &gt;= _xlfn.XLOOKUP(F843,'Min table'!C$3:C$5,),"Show","Hide")
)</f>
        <v>Hide</v>
      </c>
      <c r="X843" s="317" t="s">
        <v>2486</v>
      </c>
      <c r="Y843" s="317" t="s">
        <v>2486</v>
      </c>
    </row>
    <row r="844" spans="3:25" ht="18.75" hidden="1" x14ac:dyDescent="0.3">
      <c r="C844" s="322"/>
      <c r="D844" s="9"/>
      <c r="E844" s="9"/>
      <c r="F844" s="21" t="s">
        <v>75</v>
      </c>
      <c r="G844" s="20" t="s">
        <v>945</v>
      </c>
      <c r="H844" s="377" t="s">
        <v>1286</v>
      </c>
      <c r="I844" s="377"/>
      <c r="J844" s="377" t="s">
        <v>1287</v>
      </c>
      <c r="K844" s="377"/>
      <c r="L844" s="1"/>
      <c r="M844" s="2"/>
      <c r="N844" s="19">
        <v>8.5</v>
      </c>
      <c r="O844" s="22" t="str">
        <f t="shared" si="42"/>
        <v/>
      </c>
      <c r="P844" s="21" t="s">
        <v>349</v>
      </c>
      <c r="Q844" s="375" t="s">
        <v>224</v>
      </c>
      <c r="R844" s="375"/>
      <c r="S844" s="375"/>
      <c r="T844" s="93"/>
      <c r="U844" s="11"/>
      <c r="V844" s="320">
        <v>0</v>
      </c>
      <c r="W844" s="372" t="str">
        <f>IF(OR(G844="Collectors",G844="Special Pricing",G844="Boutique",G844="leafjoy littles",G844="Premium"),
    IF(V844&gt;0,"Show","Hide"),
    IF(V844 &gt;= _xlfn.XLOOKUP(F844,'Min table'!C$3:C$5,),"Show","Hide")
)</f>
        <v>Hide</v>
      </c>
      <c r="X844" s="317" t="s">
        <v>2487</v>
      </c>
      <c r="Y844" s="317" t="s">
        <v>2487</v>
      </c>
    </row>
    <row r="845" spans="3:25" ht="18.75" hidden="1" x14ac:dyDescent="0.3">
      <c r="C845" s="322"/>
      <c r="D845" s="9"/>
      <c r="E845" s="9"/>
      <c r="F845" s="21" t="s">
        <v>75</v>
      </c>
      <c r="G845" s="20" t="s">
        <v>991</v>
      </c>
      <c r="H845" s="377" t="s">
        <v>1288</v>
      </c>
      <c r="I845" s="377"/>
      <c r="J845" s="377" t="s">
        <v>1289</v>
      </c>
      <c r="K845" s="377"/>
      <c r="L845" s="1"/>
      <c r="M845" s="2"/>
      <c r="N845" s="19">
        <v>20</v>
      </c>
      <c r="O845" s="22" t="str">
        <f t="shared" si="42"/>
        <v/>
      </c>
      <c r="P845" s="21" t="s">
        <v>97</v>
      </c>
      <c r="Q845" s="375" t="s">
        <v>341</v>
      </c>
      <c r="R845" s="375"/>
      <c r="S845" s="375"/>
      <c r="T845" s="93"/>
      <c r="U845" s="11"/>
      <c r="V845" s="320">
        <v>48</v>
      </c>
      <c r="W845" s="372" t="str">
        <f>IF(OR(G845="Collectors",G845="Special Pricing",G845="Boutique",G845="leafjoy littles",G845="Premium"),
    IF(V845&gt;0,"Show","Hide"),
    IF(V845 &gt;= _xlfn.XLOOKUP(F845,'Min table'!C$3:C$5,),"Show","Hide")
)</f>
        <v>Show</v>
      </c>
      <c r="X845" s="317" t="s">
        <v>2488</v>
      </c>
      <c r="Y845" s="317" t="s">
        <v>2488</v>
      </c>
    </row>
    <row r="846" spans="3:25" ht="18.75" hidden="1" x14ac:dyDescent="0.3">
      <c r="C846" s="322"/>
      <c r="D846" s="9"/>
      <c r="E846" s="9"/>
      <c r="F846" s="21" t="s">
        <v>75</v>
      </c>
      <c r="G846" s="20" t="s">
        <v>945</v>
      </c>
      <c r="H846" s="377" t="s">
        <v>1290</v>
      </c>
      <c r="I846" s="377"/>
      <c r="J846" s="377" t="s">
        <v>1291</v>
      </c>
      <c r="K846" s="377"/>
      <c r="L846" s="1"/>
      <c r="M846" s="2"/>
      <c r="N846" s="19">
        <v>8.5</v>
      </c>
      <c r="O846" s="22" t="str">
        <f t="shared" ref="O846:O868" si="43">IF(AND(L846="",M846=""),"",(L846*N846)+(M846*(N846+2.25)))</f>
        <v/>
      </c>
      <c r="P846" s="21" t="s">
        <v>349</v>
      </c>
      <c r="Q846" s="375" t="s">
        <v>224</v>
      </c>
      <c r="R846" s="375"/>
      <c r="S846" s="375"/>
      <c r="T846" s="93"/>
      <c r="U846" s="11"/>
      <c r="V846" s="320">
        <v>0</v>
      </c>
      <c r="W846" s="372" t="str">
        <f>IF(OR(G846="Collectors",G846="Special Pricing",G846="Boutique",G846="leafjoy littles",G846="Premium"),
    IF(V846&gt;0,"Show","Hide"),
    IF(V846 &gt;= _xlfn.XLOOKUP(F846,'Min table'!C$3:C$5,),"Show","Hide")
)</f>
        <v>Hide</v>
      </c>
      <c r="X846" s="317" t="s">
        <v>2489</v>
      </c>
      <c r="Y846" s="317" t="s">
        <v>2489</v>
      </c>
    </row>
    <row r="847" spans="3:25" ht="18.75" hidden="1" x14ac:dyDescent="0.3">
      <c r="C847" s="322"/>
      <c r="D847" s="9"/>
      <c r="E847" s="9"/>
      <c r="F847" s="21" t="s">
        <v>75</v>
      </c>
      <c r="G847" s="20" t="s">
        <v>945</v>
      </c>
      <c r="H847" s="377" t="s">
        <v>1292</v>
      </c>
      <c r="I847" s="377"/>
      <c r="J847" s="377" t="s">
        <v>1293</v>
      </c>
      <c r="K847" s="377"/>
      <c r="L847" s="1"/>
      <c r="M847" s="2"/>
      <c r="N847" s="19">
        <v>8.5</v>
      </c>
      <c r="O847" s="22" t="str">
        <f t="shared" si="43"/>
        <v/>
      </c>
      <c r="P847" s="21" t="s">
        <v>1294</v>
      </c>
      <c r="Q847" s="375" t="s">
        <v>224</v>
      </c>
      <c r="R847" s="375"/>
      <c r="S847" s="375"/>
      <c r="T847" s="93"/>
      <c r="U847" s="11"/>
      <c r="V847" s="320">
        <v>0</v>
      </c>
      <c r="W847" s="372" t="str">
        <f>IF(OR(G847="Collectors",G847="Special Pricing",G847="Boutique",G847="leafjoy littles",G847="Premium"),
    IF(V847&gt;0,"Show","Hide"),
    IF(V847 &gt;= _xlfn.XLOOKUP(F847,'Min table'!C$3:C$5,),"Show","Hide")
)</f>
        <v>Hide</v>
      </c>
      <c r="X847" s="317" t="s">
        <v>2490</v>
      </c>
      <c r="Y847" s="317" t="s">
        <v>2490</v>
      </c>
    </row>
    <row r="848" spans="3:25" ht="18.75" hidden="1" x14ac:dyDescent="0.3">
      <c r="C848" s="322"/>
      <c r="D848" s="9"/>
      <c r="E848" s="9"/>
      <c r="F848" s="21" t="s">
        <v>75</v>
      </c>
      <c r="G848" s="20" t="s">
        <v>945</v>
      </c>
      <c r="H848" s="377" t="s">
        <v>1741</v>
      </c>
      <c r="I848" s="377"/>
      <c r="J848" s="377"/>
      <c r="K848" s="377"/>
      <c r="L848" s="1"/>
      <c r="M848" s="2"/>
      <c r="N848" s="19">
        <v>8.5</v>
      </c>
      <c r="O848" s="22" t="str">
        <f>IF(AND(L848="",M848=""),"",(L848*N848)+(M848*(N848+2.25)))</f>
        <v/>
      </c>
      <c r="P848" s="19" t="s">
        <v>1862</v>
      </c>
      <c r="Q848" s="375" t="s">
        <v>224</v>
      </c>
      <c r="R848" s="375"/>
      <c r="S848" s="375"/>
      <c r="T848" s="93"/>
      <c r="U848" s="11"/>
      <c r="V848" s="320">
        <v>0</v>
      </c>
      <c r="W848" s="372" t="str">
        <f>IF(OR(G848="Collectors",G848="Special Pricing",G848="Boutique",G848="leafjoy littles",G848="Premium"),
    IF(V848&gt;0,"Show","Hide"),
    IF(V848 &gt;= _xlfn.XLOOKUP(F848,'Min table'!C$3:C$5,),"Show","Hide")
)</f>
        <v>Hide</v>
      </c>
      <c r="X848" s="317" t="s">
        <v>2491</v>
      </c>
      <c r="Y848" s="317" t="s">
        <v>2491</v>
      </c>
    </row>
    <row r="849" spans="3:25" ht="18.75" hidden="1" x14ac:dyDescent="0.3">
      <c r="C849" s="322"/>
      <c r="D849" s="9"/>
      <c r="E849" s="9"/>
      <c r="F849" s="21" t="s">
        <v>75</v>
      </c>
      <c r="G849" s="20" t="s">
        <v>942</v>
      </c>
      <c r="H849" s="377" t="s">
        <v>1295</v>
      </c>
      <c r="I849" s="377"/>
      <c r="J849" s="377" t="s">
        <v>1296</v>
      </c>
      <c r="K849" s="377"/>
      <c r="L849" s="1"/>
      <c r="M849" s="2"/>
      <c r="N849" s="19">
        <v>11.5</v>
      </c>
      <c r="O849" s="22" t="str">
        <f t="shared" si="43"/>
        <v/>
      </c>
      <c r="P849" s="21" t="s">
        <v>737</v>
      </c>
      <c r="Q849" s="375" t="s">
        <v>242</v>
      </c>
      <c r="R849" s="375"/>
      <c r="S849" s="375"/>
      <c r="T849" s="93"/>
      <c r="U849" s="11"/>
      <c r="V849" s="320">
        <v>0</v>
      </c>
      <c r="W849" s="372" t="str">
        <f>IF(OR(G849="Collectors",G849="Special Pricing",G849="Boutique",G849="leafjoy littles",G849="Premium"),
    IF(V849&gt;0,"Show","Hide"),
    IF(V849 &gt;= _xlfn.XLOOKUP(F849,'Min table'!C$3:C$5,),"Show","Hide")
)</f>
        <v>Hide</v>
      </c>
      <c r="X849" s="317" t="s">
        <v>2492</v>
      </c>
      <c r="Y849" s="317" t="s">
        <v>2492</v>
      </c>
    </row>
    <row r="850" spans="3:25" ht="18.75" hidden="1" x14ac:dyDescent="0.3">
      <c r="C850" s="322"/>
      <c r="D850" s="9"/>
      <c r="E850" s="9"/>
      <c r="F850" s="21" t="s">
        <v>75</v>
      </c>
      <c r="G850" s="20" t="s">
        <v>1853</v>
      </c>
      <c r="H850" s="377" t="s">
        <v>1881</v>
      </c>
      <c r="I850" s="377"/>
      <c r="J850" s="377"/>
      <c r="K850" s="377"/>
      <c r="L850" s="1"/>
      <c r="M850" s="2"/>
      <c r="N850" s="19">
        <v>13.25</v>
      </c>
      <c r="O850" s="22" t="str">
        <f t="shared" si="43"/>
        <v/>
      </c>
      <c r="P850" s="19" t="s">
        <v>1862</v>
      </c>
      <c r="Q850" s="375" t="s">
        <v>242</v>
      </c>
      <c r="R850" s="375"/>
      <c r="S850" s="375"/>
      <c r="T850" s="93"/>
      <c r="U850" s="11"/>
      <c r="V850" s="320">
        <v>4</v>
      </c>
      <c r="W850" s="372" t="e">
        <f>IF(OR(G850="Collectors",G850="Special Pricing",G850="Boutique",G850="leafjoy littles",G850="Premium"),
    IF(V850&gt;0,"Show","Hide"),
    IF(V850 &gt;= _xlfn.XLOOKUP(F850,'Min table'!C$3:C$5,),"Show","Hide")
)</f>
        <v>#VALUE!</v>
      </c>
      <c r="X850" s="317" t="s">
        <v>2493</v>
      </c>
      <c r="Y850" s="317" t="s">
        <v>2493</v>
      </c>
    </row>
    <row r="851" spans="3:25" ht="18.75" hidden="1" x14ac:dyDescent="0.3">
      <c r="C851" s="322"/>
      <c r="D851" s="9"/>
      <c r="E851" s="9"/>
      <c r="F851" s="21" t="s">
        <v>75</v>
      </c>
      <c r="G851" s="20" t="s">
        <v>945</v>
      </c>
      <c r="H851" s="377" t="s">
        <v>1297</v>
      </c>
      <c r="I851" s="377"/>
      <c r="J851" s="377" t="s">
        <v>660</v>
      </c>
      <c r="K851" s="377"/>
      <c r="L851" s="1"/>
      <c r="M851" s="2"/>
      <c r="N851" s="19">
        <v>8.5</v>
      </c>
      <c r="O851" s="22" t="str">
        <f t="shared" si="43"/>
        <v/>
      </c>
      <c r="P851" s="19" t="s">
        <v>231</v>
      </c>
      <c r="Q851" s="375" t="s">
        <v>224</v>
      </c>
      <c r="R851" s="375"/>
      <c r="S851" s="375"/>
      <c r="T851" s="93"/>
      <c r="U851" s="11"/>
      <c r="V851" s="320">
        <v>10</v>
      </c>
      <c r="W851" s="372" t="str">
        <f>IF(OR(G851="Collectors",G851="Special Pricing",G851="Boutique",G851="leafjoy littles",G851="Premium"),
    IF(V851&gt;0,"Show","Hide"),
    IF(V851 &gt;= _xlfn.XLOOKUP(F851,'Min table'!C$3:C$5,),"Show","Hide")
)</f>
        <v>Show</v>
      </c>
      <c r="X851" s="317" t="s">
        <v>2494</v>
      </c>
      <c r="Y851" s="317" t="s">
        <v>2494</v>
      </c>
    </row>
    <row r="852" spans="3:25" ht="18.75" hidden="1" x14ac:dyDescent="0.3">
      <c r="C852" s="322"/>
      <c r="D852" s="9"/>
      <c r="E852" s="9"/>
      <c r="F852" s="21" t="s">
        <v>75</v>
      </c>
      <c r="G852" s="20" t="s">
        <v>1852</v>
      </c>
      <c r="H852" s="377" t="s">
        <v>2247</v>
      </c>
      <c r="I852" s="377"/>
      <c r="J852" s="377"/>
      <c r="K852" s="377"/>
      <c r="L852" s="1"/>
      <c r="M852" s="2"/>
      <c r="N852" s="19">
        <v>15</v>
      </c>
      <c r="O852" s="22" t="str">
        <f t="shared" si="43"/>
        <v/>
      </c>
      <c r="P852" s="19" t="s">
        <v>2250</v>
      </c>
      <c r="Q852" s="375" t="s">
        <v>566</v>
      </c>
      <c r="R852" s="375"/>
      <c r="S852" s="375"/>
      <c r="T852" s="93"/>
      <c r="U852" s="11"/>
      <c r="V852" s="320">
        <v>0</v>
      </c>
      <c r="W852" s="372" t="e">
        <f>IF(OR(G852="Collectors",G852="Special Pricing",G852="Boutique",G852="leafjoy littles",G852="Premium"),
    IF(V852&gt;0,"Show","Hide"),
    IF(V852 &gt;= _xlfn.XLOOKUP(F852,'Min table'!C$3:C$5,),"Show","Hide")
)</f>
        <v>#VALUE!</v>
      </c>
      <c r="X852" s="317" t="s">
        <v>2495</v>
      </c>
      <c r="Y852" s="317" t="s">
        <v>2495</v>
      </c>
    </row>
    <row r="853" spans="3:25" ht="18.75" hidden="1" x14ac:dyDescent="0.3">
      <c r="C853" s="322"/>
      <c r="D853" s="9"/>
      <c r="E853" s="9"/>
      <c r="F853" s="21" t="s">
        <v>75</v>
      </c>
      <c r="G853" s="20" t="s">
        <v>945</v>
      </c>
      <c r="H853" s="377" t="s">
        <v>1298</v>
      </c>
      <c r="I853" s="377"/>
      <c r="J853" s="377" t="s">
        <v>1299</v>
      </c>
      <c r="K853" s="377"/>
      <c r="L853" s="1"/>
      <c r="M853" s="2"/>
      <c r="N853" s="19">
        <v>8.5</v>
      </c>
      <c r="O853" s="22" t="str">
        <f t="shared" si="43"/>
        <v/>
      </c>
      <c r="P853" s="19" t="s">
        <v>1300</v>
      </c>
      <c r="Q853" s="375" t="s">
        <v>224</v>
      </c>
      <c r="R853" s="375"/>
      <c r="S853" s="375"/>
      <c r="T853" s="93"/>
      <c r="U853" s="11"/>
      <c r="V853" s="320">
        <v>0</v>
      </c>
      <c r="W853" s="372" t="str">
        <f>IF(OR(G853="Collectors",G853="Special Pricing",G853="Boutique",G853="leafjoy littles",G853="Premium"),
    IF(V853&gt;0,"Show","Hide"),
    IF(V853 &gt;= _xlfn.XLOOKUP(F853,'Min table'!C$3:C$5,),"Show","Hide")
)</f>
        <v>Hide</v>
      </c>
      <c r="X853" s="317" t="s">
        <v>2496</v>
      </c>
      <c r="Y853" s="317" t="s">
        <v>2496</v>
      </c>
    </row>
    <row r="854" spans="3:25" ht="18.75" hidden="1" x14ac:dyDescent="0.3">
      <c r="C854" s="322"/>
      <c r="D854" s="9"/>
      <c r="E854" s="9"/>
      <c r="F854" s="21" t="s">
        <v>75</v>
      </c>
      <c r="G854" s="20" t="s">
        <v>1728</v>
      </c>
      <c r="H854" s="377" t="s">
        <v>1302</v>
      </c>
      <c r="I854" s="377"/>
      <c r="J854" s="377" t="s">
        <v>1303</v>
      </c>
      <c r="K854" s="377"/>
      <c r="L854" s="1"/>
      <c r="M854" s="2"/>
      <c r="N854" s="19">
        <v>75</v>
      </c>
      <c r="O854" s="22" t="str">
        <f t="shared" si="43"/>
        <v/>
      </c>
      <c r="P854" s="19" t="s">
        <v>1865</v>
      </c>
      <c r="Q854" s="375" t="s">
        <v>72</v>
      </c>
      <c r="R854" s="375"/>
      <c r="S854" s="375"/>
      <c r="T854" s="93"/>
      <c r="U854" s="11"/>
      <c r="V854" s="320">
        <v>7</v>
      </c>
      <c r="W854" s="372" t="str">
        <f>IF(OR(G854="Collectors",G854="Special Pricing",G854="Boutique",G854="leafjoy littles",G854="Premium"),
    IF(V854&gt;0,"Show","Hide"),
    IF(V854 &gt;= _xlfn.XLOOKUP(F854,'Min table'!C$3:C$5,),"Show","Hide")
)</f>
        <v>Show</v>
      </c>
      <c r="X854" s="317" t="s">
        <v>2497</v>
      </c>
      <c r="Y854" s="317" t="s">
        <v>2497</v>
      </c>
    </row>
    <row r="855" spans="3:25" ht="18.75" hidden="1" x14ac:dyDescent="0.3">
      <c r="C855" s="322"/>
      <c r="D855" s="9"/>
      <c r="E855" s="9"/>
      <c r="F855" s="21" t="s">
        <v>75</v>
      </c>
      <c r="G855" s="20" t="s">
        <v>942</v>
      </c>
      <c r="H855" s="377" t="s">
        <v>1304</v>
      </c>
      <c r="I855" s="377"/>
      <c r="J855" s="377" t="s">
        <v>1305</v>
      </c>
      <c r="K855" s="377"/>
      <c r="L855" s="1"/>
      <c r="M855" s="2"/>
      <c r="N855" s="19">
        <v>11.5</v>
      </c>
      <c r="O855" s="22" t="str">
        <f t="shared" si="43"/>
        <v/>
      </c>
      <c r="P855" s="19" t="s">
        <v>700</v>
      </c>
      <c r="Q855" s="375" t="s">
        <v>242</v>
      </c>
      <c r="R855" s="375"/>
      <c r="S855" s="375"/>
      <c r="T855" s="93"/>
      <c r="U855" s="11"/>
      <c r="V855" s="320">
        <v>0</v>
      </c>
      <c r="W855" s="372" t="str">
        <f>IF(OR(G855="Collectors",G855="Special Pricing",G855="Boutique",G855="leafjoy littles",G855="Premium"),
    IF(V855&gt;0,"Show","Hide"),
    IF(V855 &gt;= _xlfn.XLOOKUP(F855,'Min table'!C$3:C$5,),"Show","Hide")
)</f>
        <v>Hide</v>
      </c>
      <c r="X855" s="317" t="s">
        <v>2498</v>
      </c>
      <c r="Y855" s="317" t="s">
        <v>2498</v>
      </c>
    </row>
    <row r="856" spans="3:25" ht="18.75" hidden="1" x14ac:dyDescent="0.3">
      <c r="C856" s="322"/>
      <c r="D856" s="9"/>
      <c r="E856" s="9"/>
      <c r="F856" s="21" t="s">
        <v>75</v>
      </c>
      <c r="G856" s="20" t="s">
        <v>942</v>
      </c>
      <c r="H856" s="377" t="s">
        <v>1306</v>
      </c>
      <c r="I856" s="377"/>
      <c r="J856" s="377" t="s">
        <v>1307</v>
      </c>
      <c r="K856" s="377"/>
      <c r="L856" s="1"/>
      <c r="M856" s="2"/>
      <c r="N856" s="19">
        <v>11.5</v>
      </c>
      <c r="O856" s="22" t="str">
        <f t="shared" si="43"/>
        <v/>
      </c>
      <c r="P856" s="21" t="s">
        <v>231</v>
      </c>
      <c r="Q856" s="375" t="s">
        <v>242</v>
      </c>
      <c r="R856" s="375"/>
      <c r="S856" s="375"/>
      <c r="T856" s="93"/>
      <c r="U856" s="11"/>
      <c r="V856" s="320">
        <v>0</v>
      </c>
      <c r="W856" s="372" t="str">
        <f>IF(OR(G856="Collectors",G856="Special Pricing",G856="Boutique",G856="leafjoy littles",G856="Premium"),
    IF(V856&gt;0,"Show","Hide"),
    IF(V856 &gt;= _xlfn.XLOOKUP(F856,'Min table'!C$3:C$5,),"Show","Hide")
)</f>
        <v>Hide</v>
      </c>
      <c r="X856" s="317" t="s">
        <v>2499</v>
      </c>
      <c r="Y856" s="317" t="s">
        <v>2499</v>
      </c>
    </row>
    <row r="857" spans="3:25" ht="18.75" hidden="1" x14ac:dyDescent="0.3">
      <c r="C857" s="322"/>
      <c r="D857" s="9"/>
      <c r="E857" s="9"/>
      <c r="F857" s="21" t="s">
        <v>75</v>
      </c>
      <c r="G857" s="20" t="s">
        <v>945</v>
      </c>
      <c r="H857" s="377" t="s">
        <v>1308</v>
      </c>
      <c r="I857" s="377"/>
      <c r="J857" s="377" t="s">
        <v>1309</v>
      </c>
      <c r="K857" s="377"/>
      <c r="L857" s="1"/>
      <c r="M857" s="2"/>
      <c r="N857" s="19">
        <v>8.5</v>
      </c>
      <c r="O857" s="22" t="str">
        <f t="shared" si="43"/>
        <v/>
      </c>
      <c r="P857" s="21" t="s">
        <v>231</v>
      </c>
      <c r="Q857" s="375" t="s">
        <v>224</v>
      </c>
      <c r="R857" s="375"/>
      <c r="S857" s="375"/>
      <c r="T857" s="93"/>
      <c r="U857" s="11"/>
      <c r="V857" s="320">
        <v>0</v>
      </c>
      <c r="W857" s="372" t="str">
        <f>IF(OR(G857="Collectors",G857="Special Pricing",G857="Boutique",G857="leafjoy littles",G857="Premium"),
    IF(V857&gt;0,"Show","Hide"),
    IF(V857 &gt;= _xlfn.XLOOKUP(F857,'Min table'!C$3:C$5,),"Show","Hide")
)</f>
        <v>Hide</v>
      </c>
      <c r="X857" s="317" t="s">
        <v>2500</v>
      </c>
      <c r="Y857" s="317" t="s">
        <v>2500</v>
      </c>
    </row>
    <row r="858" spans="3:25" ht="18.75" hidden="1" x14ac:dyDescent="0.3">
      <c r="C858" s="322"/>
      <c r="D858" s="9"/>
      <c r="E858" s="9"/>
      <c r="F858" s="21" t="s">
        <v>75</v>
      </c>
      <c r="G858" s="20" t="s">
        <v>942</v>
      </c>
      <c r="H858" s="377" t="s">
        <v>1310</v>
      </c>
      <c r="I858" s="377"/>
      <c r="J858" s="377" t="s">
        <v>1311</v>
      </c>
      <c r="K858" s="377"/>
      <c r="L858" s="1"/>
      <c r="M858" s="2"/>
      <c r="N858" s="19">
        <v>11.5</v>
      </c>
      <c r="O858" s="22" t="str">
        <f t="shared" si="43"/>
        <v/>
      </c>
      <c r="P858" s="19" t="s">
        <v>700</v>
      </c>
      <c r="Q858" s="375" t="s">
        <v>242</v>
      </c>
      <c r="R858" s="375"/>
      <c r="S858" s="375"/>
      <c r="T858" s="93"/>
      <c r="U858" s="11"/>
      <c r="V858" s="320">
        <v>0</v>
      </c>
      <c r="W858" s="372" t="str">
        <f>IF(OR(G858="Collectors",G858="Special Pricing",G858="Boutique",G858="leafjoy littles",G858="Premium"),
    IF(V858&gt;0,"Show","Hide"),
    IF(V858 &gt;= _xlfn.XLOOKUP(F858,'Min table'!C$3:C$5,),"Show","Hide")
)</f>
        <v>Hide</v>
      </c>
      <c r="X858" s="317" t="s">
        <v>2501</v>
      </c>
      <c r="Y858" s="317" t="s">
        <v>2501</v>
      </c>
    </row>
    <row r="859" spans="3:25" ht="18.75" hidden="1" x14ac:dyDescent="0.3">
      <c r="C859" s="322"/>
      <c r="D859" s="9"/>
      <c r="E859" s="9"/>
      <c r="F859" s="21" t="s">
        <v>75</v>
      </c>
      <c r="G859" s="20" t="s">
        <v>1728</v>
      </c>
      <c r="H859" s="377" t="s">
        <v>1312</v>
      </c>
      <c r="I859" s="377"/>
      <c r="J859" s="377" t="s">
        <v>1313</v>
      </c>
      <c r="K859" s="377"/>
      <c r="L859" s="1"/>
      <c r="M859" s="2"/>
      <c r="N859" s="19"/>
      <c r="O859" s="22" t="str">
        <f t="shared" si="43"/>
        <v/>
      </c>
      <c r="P859" s="19" t="s">
        <v>700</v>
      </c>
      <c r="Q859" s="375" t="s">
        <v>72</v>
      </c>
      <c r="R859" s="375"/>
      <c r="S859" s="375"/>
      <c r="T859" s="93"/>
      <c r="U859" s="11"/>
      <c r="V859" s="320">
        <v>0</v>
      </c>
      <c r="W859" s="372" t="str">
        <f>IF(OR(G859="Collectors",G859="Special Pricing",G859="Boutique",G859="leafjoy littles",G859="Premium"),
    IF(V859&gt;0,"Show","Hide"),
    IF(V859 &gt;= _xlfn.XLOOKUP(F859,'Min table'!C$3:C$5,),"Show","Hide")
)</f>
        <v>Hide</v>
      </c>
      <c r="X859" s="317" t="s">
        <v>2502</v>
      </c>
      <c r="Y859" s="317" t="s">
        <v>2502</v>
      </c>
    </row>
    <row r="860" spans="3:25" ht="18.75" hidden="1" x14ac:dyDescent="0.3">
      <c r="C860" s="322"/>
      <c r="D860" s="9"/>
      <c r="E860" s="9"/>
      <c r="F860" s="21" t="s">
        <v>75</v>
      </c>
      <c r="G860" s="20" t="s">
        <v>942</v>
      </c>
      <c r="H860" s="377" t="s">
        <v>1314</v>
      </c>
      <c r="I860" s="377"/>
      <c r="J860" s="377" t="s">
        <v>1315</v>
      </c>
      <c r="K860" s="377"/>
      <c r="L860" s="1"/>
      <c r="M860" s="2"/>
      <c r="N860" s="19">
        <v>11.5</v>
      </c>
      <c r="O860" s="22" t="str">
        <f t="shared" si="43"/>
        <v/>
      </c>
      <c r="P860" s="21" t="s">
        <v>1316</v>
      </c>
      <c r="Q860" s="375" t="s">
        <v>242</v>
      </c>
      <c r="R860" s="375"/>
      <c r="S860" s="375"/>
      <c r="T860" s="93"/>
      <c r="U860" s="11"/>
      <c r="V860" s="320">
        <v>0</v>
      </c>
      <c r="W860" s="372" t="str">
        <f>IF(OR(G860="Collectors",G860="Special Pricing",G860="Boutique",G860="leafjoy littles",G860="Premium"),
    IF(V860&gt;0,"Show","Hide"),
    IF(V860 &gt;= _xlfn.XLOOKUP(F860,'Min table'!C$3:C$5,),"Show","Hide")
)</f>
        <v>Hide</v>
      </c>
      <c r="X860" s="317" t="s">
        <v>2503</v>
      </c>
      <c r="Y860" s="317" t="s">
        <v>2503</v>
      </c>
    </row>
    <row r="861" spans="3:25" ht="18.75" hidden="1" x14ac:dyDescent="0.3">
      <c r="C861" s="322"/>
      <c r="D861" s="9"/>
      <c r="E861" s="9"/>
      <c r="F861" s="21" t="s">
        <v>75</v>
      </c>
      <c r="G861" s="20" t="s">
        <v>945</v>
      </c>
      <c r="H861" s="377" t="s">
        <v>1317</v>
      </c>
      <c r="I861" s="377"/>
      <c r="J861" s="377" t="s">
        <v>1318</v>
      </c>
      <c r="K861" s="377"/>
      <c r="L861" s="1"/>
      <c r="M861" s="2"/>
      <c r="N861" s="19">
        <v>8.5</v>
      </c>
      <c r="O861" s="22" t="str">
        <f t="shared" si="43"/>
        <v/>
      </c>
      <c r="P861" s="21" t="s">
        <v>349</v>
      </c>
      <c r="Q861" s="375" t="s">
        <v>224</v>
      </c>
      <c r="R861" s="375"/>
      <c r="S861" s="375"/>
      <c r="T861" s="93"/>
      <c r="U861" s="11"/>
      <c r="V861" s="320">
        <v>0</v>
      </c>
      <c r="W861" s="372" t="str">
        <f>IF(OR(G861="Collectors",G861="Special Pricing",G861="Boutique",G861="leafjoy littles",G861="Premium"),
    IF(V861&gt;0,"Show","Hide"),
    IF(V861 &gt;= _xlfn.XLOOKUP(F861,'Min table'!C$3:C$5,),"Show","Hide")
)</f>
        <v>Hide</v>
      </c>
      <c r="X861" s="342" t="s">
        <v>2504</v>
      </c>
      <c r="Y861" s="317" t="s">
        <v>2504</v>
      </c>
    </row>
    <row r="862" spans="3:25" ht="18.75" hidden="1" x14ac:dyDescent="0.3">
      <c r="C862" s="322"/>
      <c r="D862" s="9"/>
      <c r="E862" s="9"/>
      <c r="F862" s="21" t="s">
        <v>75</v>
      </c>
      <c r="G862" s="20" t="s">
        <v>945</v>
      </c>
      <c r="H862" s="377" t="s">
        <v>1319</v>
      </c>
      <c r="I862" s="377"/>
      <c r="J862" s="377" t="s">
        <v>1320</v>
      </c>
      <c r="K862" s="377"/>
      <c r="L862" s="1"/>
      <c r="M862" s="2"/>
      <c r="N862" s="19">
        <v>8.5</v>
      </c>
      <c r="O862" s="22" t="str">
        <f t="shared" si="43"/>
        <v/>
      </c>
      <c r="P862" s="21" t="s">
        <v>486</v>
      </c>
      <c r="Q862" s="375" t="s">
        <v>224</v>
      </c>
      <c r="R862" s="375"/>
      <c r="S862" s="375"/>
      <c r="T862" s="93"/>
      <c r="U862" s="11"/>
      <c r="V862" s="320">
        <v>0</v>
      </c>
      <c r="W862" s="372" t="str">
        <f>IF(OR(G862="Collectors",G862="Special Pricing",G862="Boutique",G862="leafjoy littles",G862="Premium"),
    IF(V862&gt;0,"Show","Hide"),
    IF(V862 &gt;= _xlfn.XLOOKUP(F862,'Min table'!C$3:C$5,),"Show","Hide")
)</f>
        <v>Hide</v>
      </c>
      <c r="X862" s="342" t="s">
        <v>2505</v>
      </c>
      <c r="Y862" s="317" t="s">
        <v>2505</v>
      </c>
    </row>
    <row r="863" spans="3:25" ht="18.75" hidden="1" x14ac:dyDescent="0.3">
      <c r="C863" s="322"/>
      <c r="D863" s="9"/>
      <c r="E863" s="9"/>
      <c r="F863" s="21" t="s">
        <v>75</v>
      </c>
      <c r="G863" s="20" t="s">
        <v>945</v>
      </c>
      <c r="H863" s="377" t="s">
        <v>1321</v>
      </c>
      <c r="I863" s="377"/>
      <c r="J863" s="377" t="s">
        <v>1322</v>
      </c>
      <c r="K863" s="377"/>
      <c r="L863" s="1"/>
      <c r="M863" s="2"/>
      <c r="N863" s="19">
        <v>8.5</v>
      </c>
      <c r="O863" s="22" t="str">
        <f t="shared" si="43"/>
        <v/>
      </c>
      <c r="P863" s="19" t="s">
        <v>231</v>
      </c>
      <c r="Q863" s="375" t="s">
        <v>224</v>
      </c>
      <c r="R863" s="375"/>
      <c r="S863" s="375"/>
      <c r="T863" s="93"/>
      <c r="U863" s="11"/>
      <c r="V863" s="320">
        <v>0</v>
      </c>
      <c r="W863" s="372" t="str">
        <f>IF(OR(G863="Collectors",G863="Special Pricing",G863="Boutique",G863="leafjoy littles",G863="Premium"),
    IF(V863&gt;0,"Show","Hide"),
    IF(V863 &gt;= _xlfn.XLOOKUP(F863,'Min table'!C$3:C$5,),"Show","Hide")
)</f>
        <v>Hide</v>
      </c>
      <c r="X863" s="317" t="s">
        <v>2506</v>
      </c>
      <c r="Y863" s="317" t="s">
        <v>2506</v>
      </c>
    </row>
    <row r="864" spans="3:25" ht="18.75" hidden="1" x14ac:dyDescent="0.3">
      <c r="C864" s="322"/>
      <c r="D864" s="9"/>
      <c r="E864" s="9"/>
      <c r="F864" s="21" t="s">
        <v>75</v>
      </c>
      <c r="G864" s="20" t="s">
        <v>942</v>
      </c>
      <c r="H864" s="377" t="s">
        <v>1323</v>
      </c>
      <c r="I864" s="377"/>
      <c r="J864" s="377">
        <v>0</v>
      </c>
      <c r="K864" s="377"/>
      <c r="L864" s="1"/>
      <c r="M864" s="2"/>
      <c r="N864" s="19">
        <v>11.5</v>
      </c>
      <c r="O864" s="22" t="str">
        <f t="shared" si="43"/>
        <v/>
      </c>
      <c r="P864" s="19" t="s">
        <v>231</v>
      </c>
      <c r="Q864" s="375" t="s">
        <v>242</v>
      </c>
      <c r="R864" s="375"/>
      <c r="S864" s="375"/>
      <c r="T864" s="93"/>
      <c r="U864" s="11"/>
      <c r="V864" s="320">
        <v>0</v>
      </c>
      <c r="W864" s="372" t="str">
        <f>IF(OR(G864="Collectors",G864="Special Pricing",G864="Boutique",G864="leafjoy littles",G864="Premium"),
    IF(V864&gt;0,"Show","Hide"),
    IF(V864 &gt;= _xlfn.XLOOKUP(F864,'Min table'!C$3:C$5,),"Show","Hide")
)</f>
        <v>Hide</v>
      </c>
      <c r="X864" s="317" t="s">
        <v>2507</v>
      </c>
      <c r="Y864" s="317" t="s">
        <v>2507</v>
      </c>
    </row>
    <row r="865" spans="3:25" ht="18.75" hidden="1" x14ac:dyDescent="0.3">
      <c r="C865" s="322"/>
      <c r="D865" s="9"/>
      <c r="E865" s="9"/>
      <c r="F865" s="21" t="s">
        <v>75</v>
      </c>
      <c r="G865" s="20" t="s">
        <v>942</v>
      </c>
      <c r="H865" s="377" t="s">
        <v>2274</v>
      </c>
      <c r="I865" s="377"/>
      <c r="J865" s="377"/>
      <c r="K865" s="377"/>
      <c r="L865" s="1"/>
      <c r="M865" s="2"/>
      <c r="N865" s="19">
        <v>11.5</v>
      </c>
      <c r="O865" s="22" t="str">
        <f t="shared" si="43"/>
        <v/>
      </c>
      <c r="P865" s="21" t="s">
        <v>349</v>
      </c>
      <c r="Q865" s="375" t="s">
        <v>242</v>
      </c>
      <c r="R865" s="375"/>
      <c r="S865" s="375"/>
      <c r="T865" s="93"/>
      <c r="U865" s="11"/>
      <c r="V865" s="320">
        <v>0</v>
      </c>
      <c r="W865" s="372" t="str">
        <f>IF(OR(G865="Collectors",G865="Special Pricing",G865="Boutique",G865="leafjoy littles",G865="Premium"),
    IF(V865&gt;0,"Show","Hide"),
    IF(V865 &gt;= _xlfn.XLOOKUP(F865,'Min table'!C$3:C$5,),"Show","Hide")
)</f>
        <v>Hide</v>
      </c>
      <c r="X865" s="317" t="s">
        <v>2558</v>
      </c>
      <c r="Y865" s="317" t="s">
        <v>2508</v>
      </c>
    </row>
    <row r="866" spans="3:25" ht="18.75" hidden="1" x14ac:dyDescent="0.3">
      <c r="C866" s="322"/>
      <c r="D866" s="9"/>
      <c r="E866" s="9"/>
      <c r="F866" s="21" t="s">
        <v>75</v>
      </c>
      <c r="G866" s="20" t="s">
        <v>945</v>
      </c>
      <c r="H866" s="377" t="s">
        <v>1324</v>
      </c>
      <c r="I866" s="377"/>
      <c r="J866" s="377" t="s">
        <v>1325</v>
      </c>
      <c r="K866" s="377"/>
      <c r="L866" s="1"/>
      <c r="M866" s="2"/>
      <c r="N866" s="19">
        <v>8.5</v>
      </c>
      <c r="O866" s="22" t="str">
        <f t="shared" si="43"/>
        <v/>
      </c>
      <c r="P866" s="19" t="s">
        <v>1326</v>
      </c>
      <c r="Q866" s="375" t="s">
        <v>224</v>
      </c>
      <c r="R866" s="375"/>
      <c r="S866" s="375"/>
      <c r="T866" s="93"/>
      <c r="U866" s="11"/>
      <c r="V866" s="320">
        <v>0</v>
      </c>
      <c r="W866" s="372" t="str">
        <f>IF(OR(G866="Collectors",G866="Special Pricing",G866="Boutique",G866="leafjoy littles",G866="Premium"),
    IF(V866&gt;0,"Show","Hide"),
    IF(V866 &gt;= _xlfn.XLOOKUP(F866,'Min table'!C$3:C$5,),"Show","Hide")
)</f>
        <v>Hide</v>
      </c>
      <c r="X866" s="317" t="s">
        <v>2508</v>
      </c>
      <c r="Y866" s="317" t="s">
        <v>2509</v>
      </c>
    </row>
    <row r="867" spans="3:25" ht="18.75" hidden="1" x14ac:dyDescent="0.3">
      <c r="C867" s="322"/>
      <c r="D867" s="9"/>
      <c r="E867" s="9"/>
      <c r="F867" s="21" t="s">
        <v>75</v>
      </c>
      <c r="G867" s="20" t="s">
        <v>1852</v>
      </c>
      <c r="H867" s="377" t="s">
        <v>2599</v>
      </c>
      <c r="I867" s="377"/>
      <c r="J867" s="377"/>
      <c r="K867" s="377"/>
      <c r="L867" s="1"/>
      <c r="M867" s="2"/>
      <c r="N867" s="19">
        <v>15</v>
      </c>
      <c r="O867" s="22"/>
      <c r="P867" s="19" t="s">
        <v>2250</v>
      </c>
      <c r="Q867" s="375" t="s">
        <v>566</v>
      </c>
      <c r="R867" s="375"/>
      <c r="S867" s="375"/>
      <c r="T867" s="93"/>
      <c r="U867" s="11"/>
      <c r="V867" s="320">
        <v>2</v>
      </c>
      <c r="W867" s="372" t="e">
        <f>IF(OR(G867="Collectors",G867="Special Pricing",G867="Boutique",G867="leafjoy littles",G867="Premium"),
    IF(V867&gt;0,"Show","Hide"),
    IF(V867 &gt;= _xlfn.XLOOKUP(F867,'Min table'!C$3:C$5,),"Show","Hide")
)</f>
        <v>#VALUE!</v>
      </c>
      <c r="X867" s="317" t="s">
        <v>2625</v>
      </c>
    </row>
    <row r="868" spans="3:25" ht="18.75" hidden="1" x14ac:dyDescent="0.3">
      <c r="C868" s="322"/>
      <c r="D868" s="9"/>
      <c r="E868" s="9"/>
      <c r="F868" s="21" t="s">
        <v>75</v>
      </c>
      <c r="G868" s="20" t="s">
        <v>945</v>
      </c>
      <c r="H868" s="377" t="s">
        <v>1327</v>
      </c>
      <c r="I868" s="377"/>
      <c r="J868" s="377" t="s">
        <v>1328</v>
      </c>
      <c r="K868" s="377"/>
      <c r="L868" s="1"/>
      <c r="M868" s="2"/>
      <c r="N868" s="19">
        <v>8.5</v>
      </c>
      <c r="O868" s="22" t="str">
        <f t="shared" si="43"/>
        <v/>
      </c>
      <c r="P868" s="19" t="s">
        <v>486</v>
      </c>
      <c r="Q868" s="375" t="s">
        <v>224</v>
      </c>
      <c r="R868" s="375"/>
      <c r="S868" s="375"/>
      <c r="T868" s="93"/>
      <c r="U868" s="11"/>
      <c r="V868" s="320">
        <v>0</v>
      </c>
      <c r="W868" s="372" t="str">
        <f>IF(OR(G868="Collectors",G868="Special Pricing",G868="Boutique",G868="leafjoy littles",G868="Premium"),
    IF(V868&gt;0,"Show","Hide"),
    IF(V868 &gt;= _xlfn.XLOOKUP(F868,'Min table'!C$3:C$5,),"Show","Hide")
)</f>
        <v>Hide</v>
      </c>
      <c r="X868" s="317" t="s">
        <v>2509</v>
      </c>
      <c r="Y868" s="317" t="s">
        <v>2510</v>
      </c>
    </row>
    <row r="869" spans="3:25" ht="18.75" hidden="1" x14ac:dyDescent="0.3">
      <c r="C869" s="322"/>
      <c r="D869" s="9"/>
      <c r="E869" s="9"/>
      <c r="F869" s="21" t="s">
        <v>75</v>
      </c>
      <c r="G869" s="20" t="s">
        <v>991</v>
      </c>
      <c r="H869" s="377" t="s">
        <v>1329</v>
      </c>
      <c r="I869" s="377"/>
      <c r="J869" s="377" t="s">
        <v>1330</v>
      </c>
      <c r="K869" s="377"/>
      <c r="L869" s="1"/>
      <c r="M869" s="2"/>
      <c r="N869" s="19">
        <v>20</v>
      </c>
      <c r="O869" s="22" t="str">
        <f t="shared" ref="O869:O924" si="44">IF(AND(L869="",M869=""),"",(L869*N869)+(M869*(N869+2.25)))</f>
        <v/>
      </c>
      <c r="P869" s="19" t="s">
        <v>486</v>
      </c>
      <c r="Q869" s="375" t="s">
        <v>341</v>
      </c>
      <c r="R869" s="375"/>
      <c r="S869" s="375"/>
      <c r="T869" s="93"/>
      <c r="U869" s="11"/>
      <c r="V869" s="320">
        <v>0</v>
      </c>
      <c r="W869" s="372" t="str">
        <f>IF(OR(G869="Collectors",G869="Special Pricing",G869="Boutique",G869="leafjoy littles",G869="Premium"),
    IF(V869&gt;0,"Show","Hide"),
    IF(V869 &gt;= _xlfn.XLOOKUP(F869,'Min table'!C$3:C$5,),"Show","Hide")
)</f>
        <v>Hide</v>
      </c>
      <c r="X869" s="317" t="s">
        <v>2510</v>
      </c>
      <c r="Y869" s="317" t="s">
        <v>2511</v>
      </c>
    </row>
    <row r="870" spans="3:25" ht="18.75" hidden="1" x14ac:dyDescent="0.3">
      <c r="C870" s="322"/>
      <c r="D870" s="9"/>
      <c r="E870" s="9"/>
      <c r="F870" s="21" t="s">
        <v>75</v>
      </c>
      <c r="G870" s="20" t="s">
        <v>945</v>
      </c>
      <c r="H870" s="377" t="s">
        <v>1331</v>
      </c>
      <c r="I870" s="377"/>
      <c r="J870" s="377" t="s">
        <v>1332</v>
      </c>
      <c r="K870" s="377"/>
      <c r="L870" s="1"/>
      <c r="M870" s="2"/>
      <c r="N870" s="19">
        <v>8.5</v>
      </c>
      <c r="O870" s="22" t="str">
        <f t="shared" si="44"/>
        <v/>
      </c>
      <c r="P870" s="19" t="s">
        <v>231</v>
      </c>
      <c r="Q870" s="375" t="s">
        <v>224</v>
      </c>
      <c r="R870" s="375"/>
      <c r="S870" s="375"/>
      <c r="T870" s="93"/>
      <c r="U870" s="11"/>
      <c r="V870" s="320">
        <v>0</v>
      </c>
      <c r="W870" s="372" t="str">
        <f>IF(OR(G870="Collectors",G870="Special Pricing",G870="Boutique",G870="leafjoy littles",G870="Premium"),
    IF(V870&gt;0,"Show","Hide"),
    IF(V870 &gt;= _xlfn.XLOOKUP(F870,'Min table'!C$3:C$5,),"Show","Hide")
)</f>
        <v>Hide</v>
      </c>
      <c r="X870" s="317" t="s">
        <v>2511</v>
      </c>
      <c r="Y870" s="317" t="s">
        <v>2512</v>
      </c>
    </row>
    <row r="871" spans="3:25" ht="18.75" hidden="1" x14ac:dyDescent="0.3">
      <c r="C871" s="322"/>
      <c r="D871" s="9"/>
      <c r="E871" s="9"/>
      <c r="F871" s="21" t="s">
        <v>75</v>
      </c>
      <c r="G871" s="20" t="s">
        <v>945</v>
      </c>
      <c r="H871" s="377" t="s">
        <v>1333</v>
      </c>
      <c r="I871" s="377"/>
      <c r="J871" s="377" t="s">
        <v>1334</v>
      </c>
      <c r="K871" s="377"/>
      <c r="L871" s="1"/>
      <c r="M871" s="2"/>
      <c r="N871" s="19">
        <v>8.5</v>
      </c>
      <c r="O871" s="22" t="str">
        <f t="shared" si="44"/>
        <v/>
      </c>
      <c r="P871" s="19" t="s">
        <v>1335</v>
      </c>
      <c r="Q871" s="375" t="s">
        <v>224</v>
      </c>
      <c r="R871" s="375"/>
      <c r="S871" s="375"/>
      <c r="T871" s="93"/>
      <c r="U871" s="11"/>
      <c r="V871" s="320">
        <v>0</v>
      </c>
      <c r="W871" s="372" t="str">
        <f>IF(OR(G871="Collectors",G871="Special Pricing",G871="Boutique",G871="leafjoy littles",G871="Premium"),
    IF(V871&gt;0,"Show","Hide"),
    IF(V871 &gt;= _xlfn.XLOOKUP(F871,'Min table'!C$3:C$5,),"Show","Hide")
)</f>
        <v>Hide</v>
      </c>
      <c r="X871" s="317" t="s">
        <v>2512</v>
      </c>
      <c r="Y871" s="317" t="s">
        <v>2513</v>
      </c>
    </row>
    <row r="872" spans="3:25" ht="18.75" hidden="1" x14ac:dyDescent="0.3">
      <c r="C872" s="322"/>
      <c r="D872" s="9"/>
      <c r="E872" s="9"/>
      <c r="F872" s="21" t="s">
        <v>75</v>
      </c>
      <c r="G872" s="20" t="s">
        <v>2248</v>
      </c>
      <c r="H872" s="377" t="s">
        <v>2791</v>
      </c>
      <c r="I872" s="377"/>
      <c r="J872" s="377"/>
      <c r="K872" s="377"/>
      <c r="L872" s="1"/>
      <c r="M872" s="2"/>
      <c r="N872" s="19">
        <v>13.15</v>
      </c>
      <c r="O872" s="22" t="str">
        <f t="shared" ref="O872" si="45">IF(AND(L872="",M872=""),"",(L872*N872)+(M872*(N872+2.25)))</f>
        <v/>
      </c>
      <c r="P872" s="19" t="s">
        <v>2250</v>
      </c>
      <c r="Q872" s="375" t="s">
        <v>242</v>
      </c>
      <c r="R872" s="375"/>
      <c r="S872" s="375"/>
      <c r="T872" s="93"/>
      <c r="U872" s="11"/>
      <c r="V872" s="320">
        <v>1</v>
      </c>
      <c r="W872" s="372" t="e">
        <f>IF(OR(G872="Collectors",G872="Special Pricing",G872="Boutique",G872="leafjoy littles",G872="Premium"),
    IF(V872&gt;0,"Show","Hide"),
    IF(V872 &gt;= _xlfn.XLOOKUP(F872,'Min table'!C$3:C$5,),"Show","Hide")
)</f>
        <v>#VALUE!</v>
      </c>
    </row>
    <row r="873" spans="3:25" ht="18.75" x14ac:dyDescent="0.3">
      <c r="C873" s="322"/>
      <c r="D873" s="9"/>
      <c r="E873" s="9"/>
      <c r="F873" s="21" t="s">
        <v>75</v>
      </c>
      <c r="G873" s="20" t="s">
        <v>942</v>
      </c>
      <c r="H873" s="376" t="s">
        <v>1336</v>
      </c>
      <c r="I873" s="376"/>
      <c r="J873" s="376" t="s">
        <v>1337</v>
      </c>
      <c r="K873" s="376"/>
      <c r="L873" s="1"/>
      <c r="M873" s="2"/>
      <c r="N873" s="19">
        <v>11.5</v>
      </c>
      <c r="O873" s="22" t="str">
        <f t="shared" si="44"/>
        <v/>
      </c>
      <c r="P873" s="19" t="s">
        <v>406</v>
      </c>
      <c r="Q873" s="375" t="s">
        <v>242</v>
      </c>
      <c r="R873" s="375"/>
      <c r="S873" s="375"/>
      <c r="T873" s="106"/>
      <c r="U873" s="11"/>
      <c r="V873" s="320">
        <v>36</v>
      </c>
      <c r="W873" s="372" t="str">
        <f>IF(OR(G873="Collectors",G873="Special Pricing",G873="Boutique",G873="leafjoy littles",G873="Premium"),
    IF(V873&gt;0,"Show","Hide"),
    IF(V873 &gt;= _xlfn.XLOOKUP(F873,'Min table'!C$3:C$5,),"Show","Hide")
)</f>
        <v>Show</v>
      </c>
      <c r="X873" s="317" t="s">
        <v>2513</v>
      </c>
      <c r="Y873" s="317" t="s">
        <v>2514</v>
      </c>
    </row>
    <row r="874" spans="3:25" ht="18.75" hidden="1" x14ac:dyDescent="0.3">
      <c r="C874" s="322"/>
      <c r="D874" s="9"/>
      <c r="E874" s="9"/>
      <c r="F874" s="21" t="s">
        <v>75</v>
      </c>
      <c r="G874" s="20" t="s">
        <v>945</v>
      </c>
      <c r="H874" s="377" t="s">
        <v>2562</v>
      </c>
      <c r="I874" s="377"/>
      <c r="J874" s="377"/>
      <c r="K874" s="377"/>
      <c r="L874" s="1"/>
      <c r="M874" s="2"/>
      <c r="N874" s="19">
        <v>8.5</v>
      </c>
      <c r="O874" s="22" t="str">
        <f>IF(AND(L874="",M874=""),"",(L874*N874)+(M874*(N874+2.25)))</f>
        <v/>
      </c>
      <c r="P874" s="21" t="s">
        <v>2564</v>
      </c>
      <c r="Q874" s="375" t="s">
        <v>224</v>
      </c>
      <c r="R874" s="375"/>
      <c r="S874" s="375"/>
      <c r="T874" s="106"/>
      <c r="U874" s="11"/>
      <c r="V874" s="320">
        <v>9</v>
      </c>
      <c r="W874" s="372" t="str">
        <f>IF(OR(G874="Collectors",G874="Special Pricing",G874="Boutique",G874="leafjoy littles",G874="Premium"),
    IF(V874&gt;0,"Show","Hide"),
    IF(V874 &gt;= _xlfn.XLOOKUP(F874,'Min table'!C$3:C$5,),"Show","Hide")
)</f>
        <v>Show</v>
      </c>
      <c r="X874" s="317" t="s">
        <v>2626</v>
      </c>
    </row>
    <row r="875" spans="3:25" ht="18.75" x14ac:dyDescent="0.3">
      <c r="C875" s="322"/>
      <c r="D875" s="9"/>
      <c r="E875" s="9"/>
      <c r="F875" s="21" t="s">
        <v>75</v>
      </c>
      <c r="G875" s="20" t="s">
        <v>2248</v>
      </c>
      <c r="H875" s="376" t="s">
        <v>2803</v>
      </c>
      <c r="I875" s="376"/>
      <c r="J875" s="376"/>
      <c r="K875" s="376"/>
      <c r="L875" s="1"/>
      <c r="M875" s="2"/>
      <c r="N875" s="19">
        <v>13.15</v>
      </c>
      <c r="O875" s="22" t="str">
        <f t="shared" si="44"/>
        <v/>
      </c>
      <c r="P875" s="19" t="s">
        <v>2249</v>
      </c>
      <c r="Q875" s="375" t="s">
        <v>242</v>
      </c>
      <c r="R875" s="375"/>
      <c r="S875" s="375"/>
      <c r="T875" s="106"/>
      <c r="U875" s="11"/>
      <c r="V875" s="320">
        <v>13</v>
      </c>
      <c r="W875" s="372" t="e">
        <f>IF(OR(G875="Collectors",G875="Special Pricing",G875="Boutique",G875="leafjoy littles",G875="Premium"),
    IF(V875&gt;0,"Show","Hide"),
    IF(V875 &gt;= _xlfn.XLOOKUP(F875,'Min table'!C$3:C$5,),"Show","Hide")
)</f>
        <v>#VALUE!</v>
      </c>
      <c r="X875" s="317" t="s">
        <v>2514</v>
      </c>
      <c r="Y875" s="317" t="s">
        <v>2515</v>
      </c>
    </row>
    <row r="876" spans="3:25" ht="18.75" hidden="1" x14ac:dyDescent="0.3">
      <c r="C876" s="322"/>
      <c r="D876" s="9"/>
      <c r="E876" s="9"/>
      <c r="F876" s="21" t="s">
        <v>75</v>
      </c>
      <c r="G876" s="20" t="s">
        <v>945</v>
      </c>
      <c r="H876" s="377" t="s">
        <v>2563</v>
      </c>
      <c r="I876" s="377"/>
      <c r="J876" s="377"/>
      <c r="K876" s="377"/>
      <c r="L876" s="1"/>
      <c r="M876" s="2"/>
      <c r="N876" s="19">
        <v>8.5</v>
      </c>
      <c r="O876" s="22" t="str">
        <f>IF(AND(L876="",M876=""),"",(L876*N876)+(M876*(N876+2.25)))</f>
        <v/>
      </c>
      <c r="P876" s="21" t="s">
        <v>2565</v>
      </c>
      <c r="Q876" s="375" t="s">
        <v>224</v>
      </c>
      <c r="R876" s="375"/>
      <c r="S876" s="375"/>
      <c r="T876" s="106"/>
      <c r="U876" s="11"/>
      <c r="V876" s="320">
        <v>0</v>
      </c>
      <c r="W876" s="372" t="str">
        <f>IF(OR(G876="Collectors",G876="Special Pricing",G876="Boutique",G876="leafjoy littles",G876="Premium"),
    IF(V876&gt;0,"Show","Hide"),
    IF(V876 &gt;= _xlfn.XLOOKUP(F876,'Min table'!C$3:C$5,),"Show","Hide")
)</f>
        <v>Hide</v>
      </c>
      <c r="X876" s="317" t="s">
        <v>2627</v>
      </c>
    </row>
    <row r="877" spans="3:25" ht="18.75" x14ac:dyDescent="0.3">
      <c r="C877" s="322"/>
      <c r="D877" s="9"/>
      <c r="E877" s="9"/>
      <c r="F877" s="21" t="s">
        <v>75</v>
      </c>
      <c r="G877" s="20" t="s">
        <v>2248</v>
      </c>
      <c r="H877" s="376" t="s">
        <v>2802</v>
      </c>
      <c r="I877" s="376"/>
      <c r="J877" s="376"/>
      <c r="K877" s="376"/>
      <c r="L877" s="1"/>
      <c r="M877" s="2"/>
      <c r="N877" s="19">
        <v>13.15</v>
      </c>
      <c r="O877" s="22" t="str">
        <f t="shared" si="44"/>
        <v/>
      </c>
      <c r="P877" s="19" t="s">
        <v>1862</v>
      </c>
      <c r="Q877" s="375" t="s">
        <v>242</v>
      </c>
      <c r="R877" s="375"/>
      <c r="S877" s="375"/>
      <c r="T877" s="93"/>
      <c r="U877" s="11"/>
      <c r="V877" s="320">
        <v>10</v>
      </c>
      <c r="W877" s="372" t="e">
        <f>IF(OR(G877="Collectors",G877="Special Pricing",G877="Boutique",G877="leafjoy littles",G877="Premium"),
    IF(V877&gt;0,"Show","Hide"),
    IF(V877 &gt;= _xlfn.XLOOKUP(F877,'Min table'!C$3:C$5,),"Show","Hide")
)</f>
        <v>#VALUE!</v>
      </c>
      <c r="X877" s="317" t="s">
        <v>2515</v>
      </c>
      <c r="Y877" s="317" t="s">
        <v>2516</v>
      </c>
    </row>
    <row r="878" spans="3:25" ht="18.75" hidden="1" x14ac:dyDescent="0.3">
      <c r="C878" s="322"/>
      <c r="D878" s="9"/>
      <c r="E878" s="9"/>
      <c r="F878" s="21" t="s">
        <v>75</v>
      </c>
      <c r="G878" s="20" t="s">
        <v>942</v>
      </c>
      <c r="H878" s="377" t="s">
        <v>2275</v>
      </c>
      <c r="I878" s="377"/>
      <c r="J878" s="377"/>
      <c r="K878" s="377"/>
      <c r="L878" s="1"/>
      <c r="M878" s="2"/>
      <c r="N878" s="19">
        <v>11.5</v>
      </c>
      <c r="O878" s="22" t="str">
        <f t="shared" si="44"/>
        <v/>
      </c>
      <c r="P878" s="21" t="s">
        <v>349</v>
      </c>
      <c r="Q878" s="375" t="s">
        <v>242</v>
      </c>
      <c r="R878" s="375"/>
      <c r="S878" s="375"/>
      <c r="T878" s="106"/>
      <c r="U878" s="11"/>
      <c r="V878" s="320">
        <v>11</v>
      </c>
      <c r="W878" s="372" t="str">
        <f>IF(OR(G878="Collectors",G878="Special Pricing",G878="Boutique",G878="leafjoy littles",G878="Premium"),
    IF(V878&gt;0,"Show","Hide"),
    IF(V878 &gt;= _xlfn.XLOOKUP(F878,'Min table'!C$3:C$5,),"Show","Hide")
)</f>
        <v>Show</v>
      </c>
      <c r="X878" s="317" t="s">
        <v>2516</v>
      </c>
      <c r="Y878" s="317" t="s">
        <v>2517</v>
      </c>
    </row>
    <row r="879" spans="3:25" ht="18.75" hidden="1" x14ac:dyDescent="0.3">
      <c r="C879" s="322"/>
      <c r="D879" s="9"/>
      <c r="E879" s="9"/>
      <c r="F879" s="21" t="s">
        <v>75</v>
      </c>
      <c r="G879" s="20" t="s">
        <v>991</v>
      </c>
      <c r="H879" s="377" t="s">
        <v>1338</v>
      </c>
      <c r="I879" s="377"/>
      <c r="J879" s="377" t="s">
        <v>1339</v>
      </c>
      <c r="K879" s="377"/>
      <c r="L879" s="1"/>
      <c r="M879" s="2"/>
      <c r="N879" s="19">
        <v>20</v>
      </c>
      <c r="O879" s="22" t="str">
        <f t="shared" si="44"/>
        <v/>
      </c>
      <c r="P879" s="19" t="s">
        <v>774</v>
      </c>
      <c r="Q879" s="375" t="s">
        <v>341</v>
      </c>
      <c r="R879" s="375"/>
      <c r="S879" s="375"/>
      <c r="T879" s="93"/>
      <c r="U879" s="11"/>
      <c r="V879" s="320">
        <v>0</v>
      </c>
      <c r="W879" s="372" t="str">
        <f>IF(OR(G879="Collectors",G879="Special Pricing",G879="Boutique",G879="leafjoy littles",G879="Premium"),
    IF(V879&gt;0,"Show","Hide"),
    IF(V879 &gt;= _xlfn.XLOOKUP(F879,'Min table'!C$3:C$5,),"Show","Hide")
)</f>
        <v>Hide</v>
      </c>
      <c r="X879" s="317" t="s">
        <v>2517</v>
      </c>
      <c r="Y879" s="317" t="s">
        <v>2518</v>
      </c>
    </row>
    <row r="880" spans="3:25" ht="18.75" hidden="1" x14ac:dyDescent="0.3">
      <c r="C880" s="322"/>
      <c r="D880" s="9"/>
      <c r="E880" s="9"/>
      <c r="F880" s="21" t="s">
        <v>75</v>
      </c>
      <c r="G880" s="20" t="s">
        <v>942</v>
      </c>
      <c r="H880" s="377" t="s">
        <v>1340</v>
      </c>
      <c r="I880" s="377"/>
      <c r="J880" s="377" t="s">
        <v>1341</v>
      </c>
      <c r="K880" s="377"/>
      <c r="L880" s="1"/>
      <c r="M880" s="2"/>
      <c r="N880" s="19">
        <v>11.5</v>
      </c>
      <c r="O880" s="22" t="str">
        <f t="shared" si="44"/>
        <v/>
      </c>
      <c r="P880" s="19" t="s">
        <v>774</v>
      </c>
      <c r="Q880" s="375" t="s">
        <v>242</v>
      </c>
      <c r="R880" s="375"/>
      <c r="S880" s="375"/>
      <c r="T880" s="93"/>
      <c r="U880" s="11"/>
      <c r="V880" s="320">
        <v>0</v>
      </c>
      <c r="W880" s="372" t="str">
        <f>IF(OR(G880="Collectors",G880="Special Pricing",G880="Boutique",G880="leafjoy littles",G880="Premium"),
    IF(V880&gt;0,"Show","Hide"),
    IF(V880 &gt;= _xlfn.XLOOKUP(F880,'Min table'!C$3:C$5,),"Show","Hide")
)</f>
        <v>Hide</v>
      </c>
      <c r="X880" s="317" t="s">
        <v>2518</v>
      </c>
      <c r="Y880" s="317" t="s">
        <v>2519</v>
      </c>
    </row>
    <row r="881" spans="3:25" ht="18.75" hidden="1" x14ac:dyDescent="0.3">
      <c r="C881" s="322"/>
      <c r="D881" s="9"/>
      <c r="E881" s="9"/>
      <c r="F881" s="21" t="s">
        <v>75</v>
      </c>
      <c r="G881" s="20" t="s">
        <v>942</v>
      </c>
      <c r="H881" s="377" t="s">
        <v>1342</v>
      </c>
      <c r="I881" s="377"/>
      <c r="J881" s="377" t="s">
        <v>1343</v>
      </c>
      <c r="K881" s="377"/>
      <c r="L881" s="1"/>
      <c r="M881" s="2"/>
      <c r="N881" s="19">
        <v>11.5</v>
      </c>
      <c r="O881" s="22" t="str">
        <f t="shared" si="44"/>
        <v/>
      </c>
      <c r="P881" s="19" t="s">
        <v>774</v>
      </c>
      <c r="Q881" s="375" t="s">
        <v>242</v>
      </c>
      <c r="R881" s="375"/>
      <c r="S881" s="375"/>
      <c r="T881" s="93"/>
      <c r="U881" s="11"/>
      <c r="V881" s="320">
        <v>0</v>
      </c>
      <c r="W881" s="372" t="str">
        <f>IF(OR(G881="Collectors",G881="Special Pricing",G881="Boutique",G881="leafjoy littles",G881="Premium"),
    IF(V881&gt;0,"Show","Hide"),
    IF(V881 &gt;= _xlfn.XLOOKUP(F881,'Min table'!C$3:C$5,),"Show","Hide")
)</f>
        <v>Hide</v>
      </c>
      <c r="X881" s="317" t="s">
        <v>2519</v>
      </c>
      <c r="Y881" s="317" t="s">
        <v>2520</v>
      </c>
    </row>
    <row r="882" spans="3:25" ht="18.75" hidden="1" x14ac:dyDescent="0.3">
      <c r="C882" s="322"/>
      <c r="D882" s="9"/>
      <c r="E882" s="9"/>
      <c r="F882" s="21" t="s">
        <v>75</v>
      </c>
      <c r="G882" s="20" t="s">
        <v>942</v>
      </c>
      <c r="H882" s="377" t="s">
        <v>1344</v>
      </c>
      <c r="I882" s="377"/>
      <c r="J882" s="377" t="s">
        <v>1345</v>
      </c>
      <c r="K882" s="377"/>
      <c r="L882" s="1"/>
      <c r="M882" s="2"/>
      <c r="N882" s="19">
        <v>11.5</v>
      </c>
      <c r="O882" s="22" t="str">
        <f t="shared" si="44"/>
        <v/>
      </c>
      <c r="P882" s="19" t="s">
        <v>774</v>
      </c>
      <c r="Q882" s="375" t="s">
        <v>242</v>
      </c>
      <c r="R882" s="375"/>
      <c r="S882" s="375"/>
      <c r="T882" s="93"/>
      <c r="U882" s="11"/>
      <c r="V882" s="320">
        <v>0</v>
      </c>
      <c r="W882" s="372" t="str">
        <f>IF(OR(G882="Collectors",G882="Special Pricing",G882="Boutique",G882="leafjoy littles",G882="Premium"),
    IF(V882&gt;0,"Show","Hide"),
    IF(V882 &gt;= _xlfn.XLOOKUP(F882,'Min table'!C$3:C$5,),"Show","Hide")
)</f>
        <v>Hide</v>
      </c>
      <c r="X882" s="317" t="s">
        <v>2520</v>
      </c>
      <c r="Y882" s="317" t="s">
        <v>2521</v>
      </c>
    </row>
    <row r="883" spans="3:25" ht="18.75" hidden="1" x14ac:dyDescent="0.3">
      <c r="C883" s="322"/>
      <c r="D883" s="9"/>
      <c r="E883" s="9"/>
      <c r="F883" s="21" t="s">
        <v>75</v>
      </c>
      <c r="G883" s="20" t="s">
        <v>991</v>
      </c>
      <c r="H883" s="377" t="s">
        <v>1346</v>
      </c>
      <c r="I883" s="377"/>
      <c r="J883" s="377" t="s">
        <v>1347</v>
      </c>
      <c r="K883" s="377"/>
      <c r="L883" s="1"/>
      <c r="M883" s="2"/>
      <c r="N883" s="19">
        <v>20</v>
      </c>
      <c r="O883" s="22" t="str">
        <f t="shared" si="44"/>
        <v/>
      </c>
      <c r="P883" s="19" t="s">
        <v>774</v>
      </c>
      <c r="Q883" s="375" t="s">
        <v>341</v>
      </c>
      <c r="R883" s="375"/>
      <c r="S883" s="375"/>
      <c r="T883" s="93"/>
      <c r="U883" s="11"/>
      <c r="V883" s="320">
        <v>0</v>
      </c>
      <c r="W883" s="372" t="str">
        <f>IF(OR(G883="Collectors",G883="Special Pricing",G883="Boutique",G883="leafjoy littles",G883="Premium"),
    IF(V883&gt;0,"Show","Hide"),
    IF(V883 &gt;= _xlfn.XLOOKUP(F883,'Min table'!C$3:C$5,),"Show","Hide")
)</f>
        <v>Hide</v>
      </c>
      <c r="X883" s="317" t="s">
        <v>2521</v>
      </c>
      <c r="Y883" s="317" t="s">
        <v>2522</v>
      </c>
    </row>
    <row r="884" spans="3:25" ht="18.75" hidden="1" x14ac:dyDescent="0.3">
      <c r="C884" s="322"/>
      <c r="D884" s="9"/>
      <c r="E884" s="9"/>
      <c r="F884" s="21" t="s">
        <v>75</v>
      </c>
      <c r="G884" s="20" t="s">
        <v>991</v>
      </c>
      <c r="H884" s="377" t="s">
        <v>1348</v>
      </c>
      <c r="I884" s="377"/>
      <c r="J884" s="377" t="s">
        <v>1349</v>
      </c>
      <c r="K884" s="377"/>
      <c r="L884" s="1"/>
      <c r="M884" s="2"/>
      <c r="N884" s="19">
        <v>20</v>
      </c>
      <c r="O884" s="22" t="str">
        <f t="shared" si="44"/>
        <v/>
      </c>
      <c r="P884" s="19" t="s">
        <v>774</v>
      </c>
      <c r="Q884" s="375" t="s">
        <v>341</v>
      </c>
      <c r="R884" s="375"/>
      <c r="S884" s="375"/>
      <c r="T884" s="93"/>
      <c r="U884" s="11"/>
      <c r="V884" s="320">
        <v>0</v>
      </c>
      <c r="W884" s="372" t="str">
        <f>IF(OR(G884="Collectors",G884="Special Pricing",G884="Boutique",G884="leafjoy littles",G884="Premium"),
    IF(V884&gt;0,"Show","Hide"),
    IF(V884 &gt;= _xlfn.XLOOKUP(F884,'Min table'!C$3:C$5,),"Show","Hide")
)</f>
        <v>Hide</v>
      </c>
      <c r="X884" s="317" t="s">
        <v>2522</v>
      </c>
      <c r="Y884" s="317" t="s">
        <v>2523</v>
      </c>
    </row>
    <row r="885" spans="3:25" ht="18.75" hidden="1" x14ac:dyDescent="0.3">
      <c r="C885" s="322"/>
      <c r="D885" s="9"/>
      <c r="E885" s="9"/>
      <c r="F885" s="21" t="s">
        <v>75</v>
      </c>
      <c r="G885" s="20" t="s">
        <v>945</v>
      </c>
      <c r="H885" s="377" t="s">
        <v>2561</v>
      </c>
      <c r="I885" s="377"/>
      <c r="J885" s="377" t="s">
        <v>1347</v>
      </c>
      <c r="K885" s="377"/>
      <c r="L885" s="1"/>
      <c r="M885" s="2"/>
      <c r="N885" s="19">
        <v>8.5</v>
      </c>
      <c r="O885" s="22" t="str">
        <f t="shared" si="44"/>
        <v/>
      </c>
      <c r="P885" s="19" t="s">
        <v>1862</v>
      </c>
      <c r="Q885" s="375" t="s">
        <v>224</v>
      </c>
      <c r="R885" s="375"/>
      <c r="S885" s="375"/>
      <c r="T885" s="93"/>
      <c r="U885" s="11"/>
      <c r="V885" s="320">
        <v>5</v>
      </c>
      <c r="W885" s="372" t="str">
        <f>IF(OR(G885="Collectors",G885="Special Pricing",G885="Boutique",G885="leafjoy littles",G885="Premium"),
    IF(V885&gt;0,"Show","Hide"),
    IF(V885 &gt;= _xlfn.XLOOKUP(F885,'Min table'!C$3:C$5,),"Show","Hide")
)</f>
        <v>Show</v>
      </c>
      <c r="X885" s="317" t="s">
        <v>2628</v>
      </c>
    </row>
    <row r="886" spans="3:25" ht="18.75" hidden="1" x14ac:dyDescent="0.3">
      <c r="C886" s="322"/>
      <c r="D886" s="9"/>
      <c r="E886" s="9"/>
      <c r="F886" s="21" t="s">
        <v>75</v>
      </c>
      <c r="G886" s="20" t="s">
        <v>945</v>
      </c>
      <c r="H886" s="377" t="s">
        <v>1350</v>
      </c>
      <c r="I886" s="377"/>
      <c r="J886" s="377" t="s">
        <v>1351</v>
      </c>
      <c r="K886" s="377"/>
      <c r="L886" s="1"/>
      <c r="M886" s="2"/>
      <c r="N886" s="19">
        <v>8.5</v>
      </c>
      <c r="O886" s="22" t="str">
        <f t="shared" si="44"/>
        <v/>
      </c>
      <c r="P886" s="19" t="s">
        <v>349</v>
      </c>
      <c r="Q886" s="375" t="s">
        <v>224</v>
      </c>
      <c r="R886" s="375"/>
      <c r="S886" s="375"/>
      <c r="T886" s="93"/>
      <c r="U886" s="11"/>
      <c r="V886" s="320">
        <v>0</v>
      </c>
      <c r="W886" s="372" t="str">
        <f>IF(OR(G886="Collectors",G886="Special Pricing",G886="Boutique",G886="leafjoy littles",G886="Premium"),
    IF(V886&gt;0,"Show","Hide"),
    IF(V886 &gt;= _xlfn.XLOOKUP(F886,'Min table'!C$3:C$5,),"Show","Hide")
)</f>
        <v>Hide</v>
      </c>
      <c r="X886" s="317" t="s">
        <v>2523</v>
      </c>
      <c r="Y886" s="317" t="s">
        <v>2524</v>
      </c>
    </row>
    <row r="887" spans="3:25" ht="18.75" hidden="1" x14ac:dyDescent="0.3">
      <c r="C887" s="322"/>
      <c r="D887" s="9"/>
      <c r="E887" s="9"/>
      <c r="F887" s="21" t="s">
        <v>75</v>
      </c>
      <c r="G887" s="20" t="s">
        <v>2597</v>
      </c>
      <c r="H887" s="377" t="s">
        <v>2598</v>
      </c>
      <c r="I887" s="377"/>
      <c r="J887" s="377"/>
      <c r="K887" s="377"/>
      <c r="L887" s="1"/>
      <c r="M887" s="2"/>
      <c r="N887" s="19">
        <v>23.5</v>
      </c>
      <c r="O887" s="22" t="str">
        <f t="shared" si="44"/>
        <v/>
      </c>
      <c r="P887" s="19" t="s">
        <v>2250</v>
      </c>
      <c r="Q887" s="375" t="s">
        <v>341</v>
      </c>
      <c r="R887" s="375"/>
      <c r="S887" s="375"/>
      <c r="T887" s="93"/>
      <c r="U887" s="11"/>
      <c r="V887" s="320">
        <v>0</v>
      </c>
      <c r="W887" s="372" t="e">
        <f>IF(OR(G887="Collectors",G887="Special Pricing",G887="Boutique",G887="leafjoy littles",G887="Premium"),
    IF(V887&gt;0,"Show","Hide"),
    IF(V887 &gt;= _xlfn.XLOOKUP(F887,'Min table'!C$3:C$5,),"Show","Hide")
)</f>
        <v>#VALUE!</v>
      </c>
      <c r="X887" s="317" t="s">
        <v>2629</v>
      </c>
    </row>
    <row r="888" spans="3:25" ht="18.75" hidden="1" x14ac:dyDescent="0.3">
      <c r="C888" s="322"/>
      <c r="D888" s="9"/>
      <c r="E888" s="9"/>
      <c r="F888" s="21" t="s">
        <v>75</v>
      </c>
      <c r="G888" s="20" t="s">
        <v>945</v>
      </c>
      <c r="H888" s="377" t="s">
        <v>1746</v>
      </c>
      <c r="I888" s="377" t="s">
        <v>1745</v>
      </c>
      <c r="J888" s="377" t="s">
        <v>1745</v>
      </c>
      <c r="K888" s="377" t="s">
        <v>1745</v>
      </c>
      <c r="L888" s="1"/>
      <c r="M888" s="2"/>
      <c r="N888" s="19">
        <v>8.5</v>
      </c>
      <c r="O888" s="22" t="str">
        <f>IF(AND(L888="",M888=""),"",(L888*N888)+(M888*(N888+2.25)))</f>
        <v/>
      </c>
      <c r="P888" s="19" t="s">
        <v>1862</v>
      </c>
      <c r="Q888" s="375" t="s">
        <v>224</v>
      </c>
      <c r="R888" s="375"/>
      <c r="S888" s="375"/>
      <c r="T888" s="93"/>
      <c r="U888" s="11"/>
      <c r="V888" s="320">
        <v>3</v>
      </c>
      <c r="W888" s="372" t="str">
        <f>IF(OR(G888="Collectors",G888="Special Pricing",G888="Boutique",G888="leafjoy littles",G888="Premium"),
    IF(V888&gt;0,"Show","Hide"),
    IF(V888 &gt;= _xlfn.XLOOKUP(F888,'Min table'!C$3:C$5,),"Show","Hide")
)</f>
        <v>Show</v>
      </c>
      <c r="X888" s="317" t="s">
        <v>2524</v>
      </c>
      <c r="Y888" s="317" t="s">
        <v>2525</v>
      </c>
    </row>
    <row r="889" spans="3:25" ht="18.75" x14ac:dyDescent="0.3">
      <c r="C889" s="322"/>
      <c r="D889" s="9"/>
      <c r="E889" s="9"/>
      <c r="F889" s="21" t="s">
        <v>75</v>
      </c>
      <c r="G889" s="20" t="s">
        <v>945</v>
      </c>
      <c r="H889" s="376" t="s">
        <v>2790</v>
      </c>
      <c r="I889" s="376"/>
      <c r="J889" s="376" t="s">
        <v>1353</v>
      </c>
      <c r="K889" s="376"/>
      <c r="L889" s="1"/>
      <c r="M889" s="2"/>
      <c r="N889" s="19">
        <v>8.5</v>
      </c>
      <c r="O889" s="22" t="str">
        <f>IF(AND(L889="",M889=""),"",(L889*N889)+(M889*(N889+2.25)))</f>
        <v/>
      </c>
      <c r="P889" s="19" t="s">
        <v>1862</v>
      </c>
      <c r="Q889" s="375" t="s">
        <v>224</v>
      </c>
      <c r="R889" s="375"/>
      <c r="S889" s="375"/>
      <c r="T889" s="93"/>
      <c r="U889" s="11"/>
      <c r="V889" s="320">
        <v>26</v>
      </c>
      <c r="W889" s="372" t="str">
        <f>IF(OR(G889="Collectors",G889="Special Pricing",G889="Boutique",G889="leafjoy littles",G889="Premium"),
    IF(V889&gt;0,"Show","Hide"),
    IF(V889 &gt;= _xlfn.XLOOKUP(F889,'Min table'!C$3:C$5,),"Show","Hide")
)</f>
        <v>Show</v>
      </c>
    </row>
    <row r="890" spans="3:25" ht="18.75" hidden="1" x14ac:dyDescent="0.3">
      <c r="C890" s="322"/>
      <c r="D890" s="9"/>
      <c r="E890" s="9"/>
      <c r="F890" s="21" t="s">
        <v>75</v>
      </c>
      <c r="G890" s="20" t="s">
        <v>942</v>
      </c>
      <c r="H890" s="377" t="s">
        <v>1352</v>
      </c>
      <c r="I890" s="377"/>
      <c r="J890" s="377" t="s">
        <v>1353</v>
      </c>
      <c r="K890" s="377"/>
      <c r="L890" s="1"/>
      <c r="M890" s="2"/>
      <c r="N890" s="19">
        <v>11.5</v>
      </c>
      <c r="O890" s="22" t="str">
        <f t="shared" si="44"/>
        <v/>
      </c>
      <c r="P890" s="19" t="s">
        <v>231</v>
      </c>
      <c r="Q890" s="375" t="s">
        <v>242</v>
      </c>
      <c r="R890" s="375"/>
      <c r="S890" s="375"/>
      <c r="T890" s="93"/>
      <c r="U890" s="11"/>
      <c r="V890" s="320">
        <v>0</v>
      </c>
      <c r="W890" s="372" t="str">
        <f>IF(OR(G890="Collectors",G890="Special Pricing",G890="Boutique",G890="leafjoy littles",G890="Premium"),
    IF(V890&gt;0,"Show","Hide"),
    IF(V890 &gt;= _xlfn.XLOOKUP(F890,'Min table'!C$3:C$5,),"Show","Hide")
)</f>
        <v>Hide</v>
      </c>
      <c r="X890" s="317" t="s">
        <v>2525</v>
      </c>
      <c r="Y890" s="317" t="s">
        <v>2526</v>
      </c>
    </row>
    <row r="891" spans="3:25" ht="18.75" hidden="1" x14ac:dyDescent="0.3">
      <c r="C891" s="322"/>
      <c r="D891" s="9"/>
      <c r="E891" s="9"/>
      <c r="F891" s="21" t="s">
        <v>75</v>
      </c>
      <c r="G891" s="20" t="s">
        <v>942</v>
      </c>
      <c r="H891" s="377" t="s">
        <v>1354</v>
      </c>
      <c r="I891" s="377"/>
      <c r="J891" s="377" t="s">
        <v>1355</v>
      </c>
      <c r="K891" s="377"/>
      <c r="L891" s="1"/>
      <c r="M891" s="2"/>
      <c r="N891" s="19">
        <v>11.5</v>
      </c>
      <c r="O891" s="22" t="str">
        <f t="shared" si="44"/>
        <v/>
      </c>
      <c r="P891" s="19" t="s">
        <v>1316</v>
      </c>
      <c r="Q891" s="375" t="s">
        <v>242</v>
      </c>
      <c r="R891" s="375"/>
      <c r="S891" s="375"/>
      <c r="T891" s="93"/>
      <c r="U891" s="11"/>
      <c r="V891" s="320">
        <v>0</v>
      </c>
      <c r="W891" s="372" t="str">
        <f>IF(OR(G891="Collectors",G891="Special Pricing",G891="Boutique",G891="leafjoy littles",G891="Premium"),
    IF(V891&gt;0,"Show","Hide"),
    IF(V891 &gt;= _xlfn.XLOOKUP(F891,'Min table'!C$3:C$5,),"Show","Hide")
)</f>
        <v>Hide</v>
      </c>
      <c r="X891" s="317" t="s">
        <v>2526</v>
      </c>
      <c r="Y891" s="317" t="s">
        <v>2527</v>
      </c>
    </row>
    <row r="892" spans="3:25" ht="18.75" x14ac:dyDescent="0.3">
      <c r="C892" s="322"/>
      <c r="D892" s="9"/>
      <c r="E892" s="9"/>
      <c r="F892" s="21" t="s">
        <v>75</v>
      </c>
      <c r="G892" s="20" t="s">
        <v>942</v>
      </c>
      <c r="H892" s="376" t="s">
        <v>2804</v>
      </c>
      <c r="I892" s="376"/>
      <c r="J892" s="376" t="s">
        <v>1356</v>
      </c>
      <c r="K892" s="376"/>
      <c r="L892" s="1"/>
      <c r="M892" s="2"/>
      <c r="N892" s="19">
        <v>11.5</v>
      </c>
      <c r="O892" s="22" t="str">
        <f t="shared" si="44"/>
        <v/>
      </c>
      <c r="P892" s="19" t="s">
        <v>881</v>
      </c>
      <c r="Q892" s="375" t="s">
        <v>242</v>
      </c>
      <c r="R892" s="375"/>
      <c r="S892" s="375"/>
      <c r="T892" s="106"/>
      <c r="U892" s="11"/>
      <c r="V892" s="320">
        <v>14</v>
      </c>
      <c r="W892" s="372" t="str">
        <f>IF(OR(G892="Collectors",G892="Special Pricing",G892="Boutique",G892="leafjoy littles",G892="Premium"),
    IF(V892&gt;0,"Show","Hide"),
    IF(V892 &gt;= _xlfn.XLOOKUP(F892,'Min table'!C$3:C$5,),"Show","Hide")
)</f>
        <v>Show</v>
      </c>
      <c r="X892" s="317" t="s">
        <v>2527</v>
      </c>
      <c r="Y892" s="317" t="s">
        <v>2528</v>
      </c>
    </row>
    <row r="893" spans="3:25" ht="18.75" hidden="1" x14ac:dyDescent="0.3">
      <c r="C893" s="322"/>
      <c r="D893" s="9"/>
      <c r="E893" s="9"/>
      <c r="F893" s="21" t="s">
        <v>75</v>
      </c>
      <c r="G893" s="20" t="s">
        <v>942</v>
      </c>
      <c r="H893" s="377" t="s">
        <v>1357</v>
      </c>
      <c r="I893" s="377"/>
      <c r="J893" s="377" t="s">
        <v>1358</v>
      </c>
      <c r="K893" s="377"/>
      <c r="L893" s="1"/>
      <c r="M893" s="2"/>
      <c r="N893" s="19">
        <v>11.5</v>
      </c>
      <c r="O893" s="22" t="str">
        <f t="shared" si="44"/>
        <v/>
      </c>
      <c r="P893" s="19" t="s">
        <v>881</v>
      </c>
      <c r="Q893" s="375" t="s">
        <v>242</v>
      </c>
      <c r="R893" s="375"/>
      <c r="S893" s="375"/>
      <c r="T893" s="93"/>
      <c r="U893" s="11"/>
      <c r="V893" s="320">
        <v>-1</v>
      </c>
      <c r="W893" s="372" t="str">
        <f>IF(OR(G893="Collectors",G893="Special Pricing",G893="Boutique",G893="leafjoy littles",G893="Premium"),
    IF(V893&gt;0,"Show","Hide"),
    IF(V893 &gt;= _xlfn.XLOOKUP(F893,'Min table'!C$3:C$5,),"Show","Hide")
)</f>
        <v>Hide</v>
      </c>
      <c r="X893" s="317" t="s">
        <v>2528</v>
      </c>
      <c r="Y893" s="317" t="s">
        <v>2529</v>
      </c>
    </row>
    <row r="894" spans="3:25" ht="18.75" hidden="1" x14ac:dyDescent="0.3">
      <c r="C894" s="322"/>
      <c r="D894" s="9"/>
      <c r="E894" s="9"/>
      <c r="F894" s="21" t="s">
        <v>75</v>
      </c>
      <c r="G894" s="20" t="s">
        <v>945</v>
      </c>
      <c r="H894" s="377" t="s">
        <v>1359</v>
      </c>
      <c r="I894" s="377"/>
      <c r="J894" s="377" t="s">
        <v>1360</v>
      </c>
      <c r="K894" s="377"/>
      <c r="L894" s="1"/>
      <c r="M894" s="2"/>
      <c r="N894" s="19">
        <v>8.5</v>
      </c>
      <c r="O894" s="22" t="str">
        <f t="shared" si="44"/>
        <v/>
      </c>
      <c r="P894" s="19" t="s">
        <v>881</v>
      </c>
      <c r="Q894" s="375" t="s">
        <v>224</v>
      </c>
      <c r="R894" s="375"/>
      <c r="S894" s="375"/>
      <c r="T894" s="93"/>
      <c r="U894" s="11"/>
      <c r="V894" s="320">
        <v>0</v>
      </c>
      <c r="W894" s="372" t="str">
        <f>IF(OR(G894="Collectors",G894="Special Pricing",G894="Boutique",G894="leafjoy littles",G894="Premium"),
    IF(V894&gt;0,"Show","Hide"),
    IF(V894 &gt;= _xlfn.XLOOKUP(F894,'Min table'!C$3:C$5,),"Show","Hide")
)</f>
        <v>Hide</v>
      </c>
      <c r="X894" s="317" t="s">
        <v>2529</v>
      </c>
      <c r="Y894" s="317" t="s">
        <v>2530</v>
      </c>
    </row>
    <row r="895" spans="3:25" ht="18.75" hidden="1" x14ac:dyDescent="0.3">
      <c r="C895" s="322"/>
      <c r="D895" s="9"/>
      <c r="E895" s="9"/>
      <c r="F895" s="21" t="s">
        <v>75</v>
      </c>
      <c r="G895" s="20" t="s">
        <v>945</v>
      </c>
      <c r="H895" s="377" t="s">
        <v>1831</v>
      </c>
      <c r="I895" s="377"/>
      <c r="J895" s="377"/>
      <c r="K895" s="377"/>
      <c r="L895" s="1"/>
      <c r="M895" s="2"/>
      <c r="N895" s="19">
        <v>8.5</v>
      </c>
      <c r="O895" s="22" t="str">
        <f>IF(AND(L895="",M895=""),"",(L895*N895)+(M895*(N895+2.25)))</f>
        <v/>
      </c>
      <c r="P895" s="19" t="s">
        <v>1862</v>
      </c>
      <c r="Q895" s="375" t="s">
        <v>224</v>
      </c>
      <c r="R895" s="375"/>
      <c r="S895" s="375"/>
      <c r="T895" s="93"/>
      <c r="U895" s="11"/>
      <c r="V895" s="320">
        <v>0</v>
      </c>
      <c r="W895" s="372" t="str">
        <f>IF(OR(G895="Collectors",G895="Special Pricing",G895="Boutique",G895="leafjoy littles",G895="Premium"),
    IF(V895&gt;0,"Show","Hide"),
    IF(V895 &gt;= _xlfn.XLOOKUP(F895,'Min table'!C$3:C$5,),"Show","Hide")
)</f>
        <v>Hide</v>
      </c>
      <c r="X895" s="317" t="s">
        <v>2530</v>
      </c>
      <c r="Y895" s="317" t="s">
        <v>2531</v>
      </c>
    </row>
    <row r="896" spans="3:25" ht="18.75" hidden="1" x14ac:dyDescent="0.3">
      <c r="C896" s="322"/>
      <c r="D896" s="9"/>
      <c r="E896" s="9"/>
      <c r="F896" s="21" t="s">
        <v>75</v>
      </c>
      <c r="G896" s="20" t="s">
        <v>945</v>
      </c>
      <c r="H896" s="377" t="s">
        <v>1361</v>
      </c>
      <c r="I896" s="377"/>
      <c r="J896" s="377" t="s">
        <v>1362</v>
      </c>
      <c r="K896" s="377"/>
      <c r="L896" s="1"/>
      <c r="M896" s="2"/>
      <c r="N896" s="19">
        <v>8.5</v>
      </c>
      <c r="O896" s="22" t="str">
        <f t="shared" si="44"/>
        <v/>
      </c>
      <c r="P896" s="19" t="s">
        <v>1363</v>
      </c>
      <c r="Q896" s="375" t="s">
        <v>224</v>
      </c>
      <c r="R896" s="375"/>
      <c r="S896" s="375"/>
      <c r="T896" s="93"/>
      <c r="U896" s="11"/>
      <c r="V896" s="320">
        <v>0</v>
      </c>
      <c r="W896" s="372" t="str">
        <f>IF(OR(G896="Collectors",G896="Special Pricing",G896="Boutique",G896="leafjoy littles",G896="Premium"),
    IF(V896&gt;0,"Show","Hide"),
    IF(V896 &gt;= _xlfn.XLOOKUP(F896,'Min table'!C$3:C$5,),"Show","Hide")
)</f>
        <v>Hide</v>
      </c>
      <c r="X896" s="317" t="s">
        <v>2531</v>
      </c>
      <c r="Y896" s="317" t="s">
        <v>2532</v>
      </c>
    </row>
    <row r="897" spans="3:25" ht="18.75" hidden="1" x14ac:dyDescent="0.3">
      <c r="C897" s="322"/>
      <c r="D897" s="9"/>
      <c r="E897" s="9"/>
      <c r="F897" s="21" t="s">
        <v>75</v>
      </c>
      <c r="G897" s="20" t="s">
        <v>942</v>
      </c>
      <c r="H897" s="377" t="s">
        <v>879</v>
      </c>
      <c r="I897" s="377"/>
      <c r="J897" s="377" t="s">
        <v>1364</v>
      </c>
      <c r="K897" s="377"/>
      <c r="L897" s="1"/>
      <c r="M897" s="2"/>
      <c r="N897" s="19">
        <v>11.5</v>
      </c>
      <c r="O897" s="22" t="str">
        <f t="shared" si="44"/>
        <v/>
      </c>
      <c r="P897" s="19" t="s">
        <v>1365</v>
      </c>
      <c r="Q897" s="375" t="s">
        <v>242</v>
      </c>
      <c r="R897" s="375"/>
      <c r="S897" s="375"/>
      <c r="T897" s="93"/>
      <c r="U897" s="11"/>
      <c r="V897" s="320">
        <v>0</v>
      </c>
      <c r="W897" s="372" t="str">
        <f>IF(OR(G897="Collectors",G897="Special Pricing",G897="Boutique",G897="leafjoy littles",G897="Premium"),
    IF(V897&gt;0,"Show","Hide"),
    IF(V897 &gt;= _xlfn.XLOOKUP(F897,'Min table'!C$3:C$5,),"Show","Hide")
)</f>
        <v>Hide</v>
      </c>
      <c r="X897" s="317" t="s">
        <v>2532</v>
      </c>
      <c r="Y897" s="317" t="s">
        <v>2213</v>
      </c>
    </row>
    <row r="898" spans="3:25" ht="18.75" hidden="1" x14ac:dyDescent="0.3">
      <c r="C898" s="322"/>
      <c r="D898" s="9"/>
      <c r="E898" s="9"/>
      <c r="F898" s="21" t="s">
        <v>75</v>
      </c>
      <c r="G898" s="20" t="s">
        <v>942</v>
      </c>
      <c r="H898" s="377" t="s">
        <v>882</v>
      </c>
      <c r="I898" s="377"/>
      <c r="J898" s="377" t="s">
        <v>1366</v>
      </c>
      <c r="K898" s="377"/>
      <c r="L898" s="1"/>
      <c r="M898" s="2"/>
      <c r="N898" s="19">
        <v>11.5</v>
      </c>
      <c r="O898" s="22" t="str">
        <f t="shared" si="44"/>
        <v/>
      </c>
      <c r="P898" s="19" t="s">
        <v>881</v>
      </c>
      <c r="Q898" s="375" t="s">
        <v>242</v>
      </c>
      <c r="R898" s="375"/>
      <c r="S898" s="375"/>
      <c r="T898" s="93"/>
      <c r="U898" s="11"/>
      <c r="V898" s="320">
        <v>0</v>
      </c>
      <c r="W898" s="372" t="str">
        <f>IF(OR(G898="Collectors",G898="Special Pricing",G898="Boutique",G898="leafjoy littles",G898="Premium"),
    IF(V898&gt;0,"Show","Hide"),
    IF(V898 &gt;= _xlfn.XLOOKUP(F898,'Min table'!C$3:C$5,),"Show","Hide")
)</f>
        <v>Hide</v>
      </c>
      <c r="X898" s="317" t="s">
        <v>2213</v>
      </c>
      <c r="Y898" s="317" t="s">
        <v>2533</v>
      </c>
    </row>
    <row r="899" spans="3:25" ht="18.75" hidden="1" x14ac:dyDescent="0.3">
      <c r="C899" s="322"/>
      <c r="D899" s="9"/>
      <c r="E899" s="9"/>
      <c r="F899" s="21" t="s">
        <v>75</v>
      </c>
      <c r="G899" s="20" t="s">
        <v>945</v>
      </c>
      <c r="H899" s="377" t="s">
        <v>1367</v>
      </c>
      <c r="I899" s="377"/>
      <c r="J899" s="377" t="s">
        <v>1368</v>
      </c>
      <c r="K899" s="377"/>
      <c r="L899" s="1"/>
      <c r="M899" s="2"/>
      <c r="N899" s="19">
        <v>8.5</v>
      </c>
      <c r="O899" s="22" t="str">
        <f t="shared" si="44"/>
        <v/>
      </c>
      <c r="P899" s="19" t="s">
        <v>1363</v>
      </c>
      <c r="Q899" s="375" t="s">
        <v>224</v>
      </c>
      <c r="R899" s="375"/>
      <c r="S899" s="375"/>
      <c r="T899" s="93"/>
      <c r="U899" s="11"/>
      <c r="V899" s="320">
        <v>0</v>
      </c>
      <c r="W899" s="372" t="str">
        <f>IF(OR(G899="Collectors",G899="Special Pricing",G899="Boutique",G899="leafjoy littles",G899="Premium"),
    IF(V899&gt;0,"Show","Hide"),
    IF(V899 &gt;= _xlfn.XLOOKUP(F899,'Min table'!C$3:C$5,),"Show","Hide")
)</f>
        <v>Hide</v>
      </c>
      <c r="X899" s="317" t="s">
        <v>2533</v>
      </c>
      <c r="Y899" s="317" t="s">
        <v>2534</v>
      </c>
    </row>
    <row r="900" spans="3:25" ht="18.75" hidden="1" x14ac:dyDescent="0.3">
      <c r="C900" s="322"/>
      <c r="D900" s="9"/>
      <c r="E900" s="9"/>
      <c r="F900" s="21" t="s">
        <v>75</v>
      </c>
      <c r="G900" s="20" t="s">
        <v>945</v>
      </c>
      <c r="H900" s="377" t="s">
        <v>1369</v>
      </c>
      <c r="I900" s="377"/>
      <c r="J900" s="377" t="s">
        <v>1370</v>
      </c>
      <c r="K900" s="377"/>
      <c r="L900" s="1"/>
      <c r="M900" s="2"/>
      <c r="N900" s="19">
        <v>8.5</v>
      </c>
      <c r="O900" s="22" t="str">
        <f t="shared" si="44"/>
        <v/>
      </c>
      <c r="P900" s="19" t="s">
        <v>1363</v>
      </c>
      <c r="Q900" s="375" t="s">
        <v>224</v>
      </c>
      <c r="R900" s="375"/>
      <c r="S900" s="375"/>
      <c r="T900" s="93"/>
      <c r="U900" s="11"/>
      <c r="V900" s="320">
        <v>0</v>
      </c>
      <c r="W900" s="372" t="str">
        <f>IF(OR(G900="Collectors",G900="Special Pricing",G900="Boutique",G900="leafjoy littles",G900="Premium"),
    IF(V900&gt;0,"Show","Hide"),
    IF(V900 &gt;= _xlfn.XLOOKUP(F900,'Min table'!C$3:C$5,),"Show","Hide")
)</f>
        <v>Hide</v>
      </c>
      <c r="X900" s="317" t="s">
        <v>2534</v>
      </c>
      <c r="Y900" s="317" t="s">
        <v>2535</v>
      </c>
    </row>
    <row r="901" spans="3:25" ht="18.75" hidden="1" x14ac:dyDescent="0.3">
      <c r="C901" s="322"/>
      <c r="D901" s="9"/>
      <c r="E901" s="9"/>
      <c r="F901" s="21" t="s">
        <v>75</v>
      </c>
      <c r="G901" s="20" t="s">
        <v>945</v>
      </c>
      <c r="H901" s="377" t="s">
        <v>1371</v>
      </c>
      <c r="I901" s="377"/>
      <c r="J901" s="377" t="s">
        <v>1372</v>
      </c>
      <c r="K901" s="377"/>
      <c r="L901" s="1"/>
      <c r="M901" s="2"/>
      <c r="N901" s="19">
        <v>8.5</v>
      </c>
      <c r="O901" s="22" t="str">
        <f t="shared" si="44"/>
        <v/>
      </c>
      <c r="P901" s="19" t="s">
        <v>881</v>
      </c>
      <c r="Q901" s="375" t="s">
        <v>224</v>
      </c>
      <c r="R901" s="375"/>
      <c r="S901" s="375"/>
      <c r="T901" s="93"/>
      <c r="U901" s="11"/>
      <c r="V901" s="320">
        <v>0</v>
      </c>
      <c r="W901" s="372" t="str">
        <f>IF(OR(G901="Collectors",G901="Special Pricing",G901="Boutique",G901="leafjoy littles",G901="Premium"),
    IF(V901&gt;0,"Show","Hide"),
    IF(V901 &gt;= _xlfn.XLOOKUP(F901,'Min table'!C$3:C$5,),"Show","Hide")
)</f>
        <v>Hide</v>
      </c>
      <c r="X901" s="317" t="s">
        <v>2535</v>
      </c>
      <c r="Y901" s="317" t="s">
        <v>2536</v>
      </c>
    </row>
    <row r="902" spans="3:25" ht="18.75" hidden="1" x14ac:dyDescent="0.3">
      <c r="C902" s="322"/>
      <c r="D902" s="9"/>
      <c r="E902" s="9"/>
      <c r="F902" s="21" t="s">
        <v>75</v>
      </c>
      <c r="G902" s="20" t="s">
        <v>942</v>
      </c>
      <c r="H902" s="377" t="s">
        <v>1373</v>
      </c>
      <c r="I902" s="377"/>
      <c r="J902" s="377" t="s">
        <v>1374</v>
      </c>
      <c r="K902" s="377"/>
      <c r="L902" s="1"/>
      <c r="M902" s="2"/>
      <c r="N902" s="19">
        <v>11.5</v>
      </c>
      <c r="O902" s="22" t="str">
        <f t="shared" si="44"/>
        <v/>
      </c>
      <c r="P902" s="21" t="s">
        <v>881</v>
      </c>
      <c r="Q902" s="375" t="s">
        <v>242</v>
      </c>
      <c r="R902" s="375"/>
      <c r="S902" s="375"/>
      <c r="T902" s="93"/>
      <c r="U902" s="11"/>
      <c r="V902" s="320">
        <v>0</v>
      </c>
      <c r="W902" s="372" t="str">
        <f>IF(OR(G902="Collectors",G902="Special Pricing",G902="Boutique",G902="leafjoy littles",G902="Premium"),
    IF(V902&gt;0,"Show","Hide"),
    IF(V902 &gt;= _xlfn.XLOOKUP(F902,'Min table'!C$3:C$5,),"Show","Hide")
)</f>
        <v>Hide</v>
      </c>
      <c r="X902" s="317" t="s">
        <v>2536</v>
      </c>
      <c r="Y902" s="317" t="s">
        <v>2537</v>
      </c>
    </row>
    <row r="903" spans="3:25" ht="18.75" hidden="1" x14ac:dyDescent="0.3">
      <c r="C903" s="322"/>
      <c r="D903" s="9"/>
      <c r="E903" s="9"/>
      <c r="F903" s="21" t="s">
        <v>75</v>
      </c>
      <c r="G903" s="20" t="s">
        <v>945</v>
      </c>
      <c r="H903" s="377" t="s">
        <v>1375</v>
      </c>
      <c r="I903" s="377"/>
      <c r="J903" s="377" t="s">
        <v>1376</v>
      </c>
      <c r="K903" s="377"/>
      <c r="L903" s="1"/>
      <c r="M903" s="2"/>
      <c r="N903" s="19">
        <v>8.5</v>
      </c>
      <c r="O903" s="22" t="str">
        <f t="shared" si="44"/>
        <v/>
      </c>
      <c r="P903" s="19" t="s">
        <v>881</v>
      </c>
      <c r="Q903" s="375" t="s">
        <v>224</v>
      </c>
      <c r="R903" s="375"/>
      <c r="S903" s="375"/>
      <c r="T903" s="93"/>
      <c r="U903" s="11"/>
      <c r="V903" s="320">
        <v>0</v>
      </c>
      <c r="W903" s="372" t="str">
        <f>IF(OR(G903="Collectors",G903="Special Pricing",G903="Boutique",G903="leafjoy littles",G903="Premium"),
    IF(V903&gt;0,"Show","Hide"),
    IF(V903 &gt;= _xlfn.XLOOKUP(F903,'Min table'!C$3:C$5,),"Show","Hide")
)</f>
        <v>Hide</v>
      </c>
      <c r="X903" s="317" t="s">
        <v>2537</v>
      </c>
      <c r="Y903" s="317" t="s">
        <v>2538</v>
      </c>
    </row>
    <row r="904" spans="3:25" ht="18.75" hidden="1" x14ac:dyDescent="0.3">
      <c r="C904" s="322"/>
      <c r="D904" s="9"/>
      <c r="E904" s="9"/>
      <c r="F904" s="21" t="s">
        <v>75</v>
      </c>
      <c r="G904" s="20" t="s">
        <v>942</v>
      </c>
      <c r="H904" s="377" t="s">
        <v>1377</v>
      </c>
      <c r="I904" s="377"/>
      <c r="J904" s="377" t="s">
        <v>1378</v>
      </c>
      <c r="K904" s="377"/>
      <c r="L904" s="1"/>
      <c r="M904" s="2"/>
      <c r="N904" s="19">
        <v>11.5</v>
      </c>
      <c r="O904" s="22" t="str">
        <f t="shared" si="44"/>
        <v/>
      </c>
      <c r="P904" s="19" t="s">
        <v>881</v>
      </c>
      <c r="Q904" s="375" t="s">
        <v>242</v>
      </c>
      <c r="R904" s="375"/>
      <c r="S904" s="375"/>
      <c r="T904" s="93"/>
      <c r="U904" s="11"/>
      <c r="V904" s="320">
        <v>0</v>
      </c>
      <c r="W904" s="372" t="str">
        <f>IF(OR(G904="Collectors",G904="Special Pricing",G904="Boutique",G904="leafjoy littles",G904="Premium"),
    IF(V904&gt;0,"Show","Hide"),
    IF(V904 &gt;= _xlfn.XLOOKUP(F904,'Min table'!C$3:C$5,),"Show","Hide")
)</f>
        <v>Hide</v>
      </c>
      <c r="X904" s="317" t="s">
        <v>2538</v>
      </c>
      <c r="Y904" s="317" t="s">
        <v>2539</v>
      </c>
    </row>
    <row r="905" spans="3:25" ht="18.75" hidden="1" x14ac:dyDescent="0.3">
      <c r="C905" s="322"/>
      <c r="D905" s="9"/>
      <c r="E905" s="9"/>
      <c r="F905" s="21" t="s">
        <v>75</v>
      </c>
      <c r="G905" s="20" t="s">
        <v>942</v>
      </c>
      <c r="H905" s="377" t="s">
        <v>1379</v>
      </c>
      <c r="I905" s="377"/>
      <c r="J905" s="377" t="s">
        <v>1380</v>
      </c>
      <c r="K905" s="377"/>
      <c r="L905" s="1"/>
      <c r="M905" s="2"/>
      <c r="N905" s="19">
        <v>11.5</v>
      </c>
      <c r="O905" s="22" t="str">
        <f t="shared" si="44"/>
        <v/>
      </c>
      <c r="P905" s="19" t="s">
        <v>881</v>
      </c>
      <c r="Q905" s="375" t="s">
        <v>242</v>
      </c>
      <c r="R905" s="375"/>
      <c r="S905" s="375"/>
      <c r="T905" s="93"/>
      <c r="U905" s="11"/>
      <c r="V905" s="320">
        <v>0</v>
      </c>
      <c r="W905" s="372" t="str">
        <f>IF(OR(G905="Collectors",G905="Special Pricing",G905="Boutique",G905="leafjoy littles",G905="Premium"),
    IF(V905&gt;0,"Show","Hide"),
    IF(V905 &gt;= _xlfn.XLOOKUP(F905,'Min table'!C$3:C$5,),"Show","Hide")
)</f>
        <v>Hide</v>
      </c>
      <c r="X905" s="317" t="s">
        <v>2539</v>
      </c>
      <c r="Y905" s="317" t="s">
        <v>2540</v>
      </c>
    </row>
    <row r="906" spans="3:25" ht="18.75" hidden="1" x14ac:dyDescent="0.3">
      <c r="C906" s="322"/>
      <c r="D906" s="9"/>
      <c r="E906" s="9"/>
      <c r="F906" s="21" t="s">
        <v>75</v>
      </c>
      <c r="G906" s="20" t="s">
        <v>945</v>
      </c>
      <c r="H906" s="377" t="s">
        <v>885</v>
      </c>
      <c r="I906" s="377"/>
      <c r="J906" s="377" t="s">
        <v>1381</v>
      </c>
      <c r="K906" s="377"/>
      <c r="L906" s="1"/>
      <c r="M906" s="2"/>
      <c r="N906" s="19">
        <v>8.5</v>
      </c>
      <c r="O906" s="22" t="str">
        <f t="shared" si="44"/>
        <v/>
      </c>
      <c r="P906" s="19" t="s">
        <v>1363</v>
      </c>
      <c r="Q906" s="375" t="s">
        <v>224</v>
      </c>
      <c r="R906" s="375"/>
      <c r="S906" s="375"/>
      <c r="T906" s="93"/>
      <c r="U906" s="11"/>
      <c r="V906" s="320">
        <v>0</v>
      </c>
      <c r="W906" s="372" t="str">
        <f>IF(OR(G906="Collectors",G906="Special Pricing",G906="Boutique",G906="leafjoy littles",G906="Premium"),
    IF(V906&gt;0,"Show","Hide"),
    IF(V906 &gt;= _xlfn.XLOOKUP(F906,'Min table'!C$3:C$5,),"Show","Hide")
)</f>
        <v>Hide</v>
      </c>
      <c r="X906" s="317" t="s">
        <v>2540</v>
      </c>
      <c r="Y906" s="317" t="s">
        <v>2541</v>
      </c>
    </row>
    <row r="907" spans="3:25" ht="18.75" hidden="1" x14ac:dyDescent="0.3">
      <c r="C907" s="322"/>
      <c r="D907" s="9"/>
      <c r="E907" s="9"/>
      <c r="F907" s="21" t="s">
        <v>75</v>
      </c>
      <c r="G907" s="20" t="s">
        <v>942</v>
      </c>
      <c r="H907" s="377" t="s">
        <v>1382</v>
      </c>
      <c r="I907" s="377"/>
      <c r="J907" s="377" t="s">
        <v>1383</v>
      </c>
      <c r="K907" s="377"/>
      <c r="L907" s="1"/>
      <c r="M907" s="2"/>
      <c r="N907" s="19">
        <v>11.5</v>
      </c>
      <c r="O907" s="22" t="str">
        <f t="shared" si="44"/>
        <v/>
      </c>
      <c r="P907" s="19" t="s">
        <v>1384</v>
      </c>
      <c r="Q907" s="375" t="s">
        <v>242</v>
      </c>
      <c r="R907" s="375"/>
      <c r="S907" s="375"/>
      <c r="T907" s="93"/>
      <c r="U907" s="11"/>
      <c r="V907" s="320">
        <v>0</v>
      </c>
      <c r="W907" s="372" t="str">
        <f>IF(OR(G907="Collectors",G907="Special Pricing",G907="Boutique",G907="leafjoy littles",G907="Premium"),
    IF(V907&gt;0,"Show","Hide"),
    IF(V907 &gt;= _xlfn.XLOOKUP(F907,'Min table'!C$3:C$5,),"Show","Hide")
)</f>
        <v>Hide</v>
      </c>
      <c r="X907" s="317" t="s">
        <v>2541</v>
      </c>
      <c r="Y907" s="317" t="s">
        <v>2542</v>
      </c>
    </row>
    <row r="908" spans="3:25" ht="18.75" hidden="1" x14ac:dyDescent="0.3">
      <c r="C908" s="322"/>
      <c r="D908" s="9"/>
      <c r="E908" s="9"/>
      <c r="F908" s="21" t="s">
        <v>75</v>
      </c>
      <c r="G908" s="20" t="s">
        <v>945</v>
      </c>
      <c r="H908" s="377" t="s">
        <v>1385</v>
      </c>
      <c r="I908" s="377"/>
      <c r="J908" s="377" t="s">
        <v>1386</v>
      </c>
      <c r="K908" s="377"/>
      <c r="L908" s="1"/>
      <c r="M908" s="2"/>
      <c r="N908" s="19">
        <v>8.5</v>
      </c>
      <c r="O908" s="22" t="str">
        <f t="shared" si="44"/>
        <v/>
      </c>
      <c r="P908" s="21" t="s">
        <v>1363</v>
      </c>
      <c r="Q908" s="375" t="s">
        <v>224</v>
      </c>
      <c r="R908" s="375"/>
      <c r="S908" s="375"/>
      <c r="T908" s="93"/>
      <c r="U908" s="11"/>
      <c r="V908" s="320">
        <v>0</v>
      </c>
      <c r="W908" s="372" t="str">
        <f>IF(OR(G908="Collectors",G908="Special Pricing",G908="Boutique",G908="leafjoy littles",G908="Premium"),
    IF(V908&gt;0,"Show","Hide"),
    IF(V908 &gt;= _xlfn.XLOOKUP(F908,'Min table'!C$3:C$5,),"Show","Hide")
)</f>
        <v>Hide</v>
      </c>
      <c r="X908" s="317" t="s">
        <v>2542</v>
      </c>
      <c r="Y908" s="317" t="s">
        <v>2543</v>
      </c>
    </row>
    <row r="909" spans="3:25" ht="18.75" hidden="1" x14ac:dyDescent="0.3">
      <c r="C909" s="322"/>
      <c r="D909" s="9"/>
      <c r="E909" s="9"/>
      <c r="F909" s="21" t="s">
        <v>75</v>
      </c>
      <c r="G909" s="20" t="s">
        <v>945</v>
      </c>
      <c r="H909" s="377" t="s">
        <v>888</v>
      </c>
      <c r="I909" s="377"/>
      <c r="J909" s="377" t="s">
        <v>1387</v>
      </c>
      <c r="K909" s="377"/>
      <c r="L909" s="1"/>
      <c r="M909" s="2"/>
      <c r="N909" s="19">
        <v>8.5</v>
      </c>
      <c r="O909" s="22" t="str">
        <f t="shared" si="44"/>
        <v/>
      </c>
      <c r="P909" s="19" t="s">
        <v>1363</v>
      </c>
      <c r="Q909" s="375" t="s">
        <v>224</v>
      </c>
      <c r="R909" s="375"/>
      <c r="S909" s="375"/>
      <c r="T909" s="93"/>
      <c r="U909" s="11"/>
      <c r="V909" s="320">
        <v>0</v>
      </c>
      <c r="W909" s="372" t="str">
        <f>IF(OR(G909="Collectors",G909="Special Pricing",G909="Boutique",G909="leafjoy littles",G909="Premium"),
    IF(V909&gt;0,"Show","Hide"),
    IF(V909 &gt;= _xlfn.XLOOKUP(F909,'Min table'!C$3:C$5,),"Show","Hide")
)</f>
        <v>Hide</v>
      </c>
      <c r="X909" s="317" t="s">
        <v>2543</v>
      </c>
      <c r="Y909" s="317" t="s">
        <v>2544</v>
      </c>
    </row>
    <row r="910" spans="3:25" ht="18.75" hidden="1" x14ac:dyDescent="0.3">
      <c r="C910" s="322"/>
      <c r="D910" s="9"/>
      <c r="E910" s="9"/>
      <c r="F910" s="21" t="s">
        <v>75</v>
      </c>
      <c r="G910" s="20" t="s">
        <v>942</v>
      </c>
      <c r="H910" s="377" t="s">
        <v>1388</v>
      </c>
      <c r="I910" s="377"/>
      <c r="J910" s="377" t="s">
        <v>1389</v>
      </c>
      <c r="K910" s="377"/>
      <c r="L910" s="1"/>
      <c r="M910" s="2"/>
      <c r="N910" s="19">
        <v>11.5</v>
      </c>
      <c r="O910" s="22" t="str">
        <f t="shared" si="44"/>
        <v/>
      </c>
      <c r="P910" s="19" t="s">
        <v>881</v>
      </c>
      <c r="Q910" s="375" t="s">
        <v>242</v>
      </c>
      <c r="R910" s="375"/>
      <c r="S910" s="375"/>
      <c r="T910" s="93"/>
      <c r="U910" s="11"/>
      <c r="V910" s="320">
        <v>0</v>
      </c>
      <c r="W910" s="372" t="str">
        <f>IF(OR(G910="Collectors",G910="Special Pricing",G910="Boutique",G910="leafjoy littles",G910="Premium"),
    IF(V910&gt;0,"Show","Hide"),
    IF(V910 &gt;= _xlfn.XLOOKUP(F910,'Min table'!C$3:C$5,),"Show","Hide")
)</f>
        <v>Hide</v>
      </c>
      <c r="X910" s="317" t="s">
        <v>2544</v>
      </c>
      <c r="Y910" s="317" t="s">
        <v>2545</v>
      </c>
    </row>
    <row r="911" spans="3:25" ht="18.75" hidden="1" x14ac:dyDescent="0.3">
      <c r="C911" s="322"/>
      <c r="D911" s="9"/>
      <c r="E911" s="9"/>
      <c r="F911" s="21" t="s">
        <v>75</v>
      </c>
      <c r="G911" s="20" t="s">
        <v>942</v>
      </c>
      <c r="H911" s="377" t="s">
        <v>1390</v>
      </c>
      <c r="I911" s="377"/>
      <c r="J911" s="377" t="s">
        <v>1391</v>
      </c>
      <c r="K911" s="377"/>
      <c r="L911" s="1"/>
      <c r="M911" s="2"/>
      <c r="N911" s="19">
        <v>11.5</v>
      </c>
      <c r="O911" s="22" t="str">
        <f t="shared" si="44"/>
        <v/>
      </c>
      <c r="P911" s="19" t="s">
        <v>881</v>
      </c>
      <c r="Q911" s="375" t="s">
        <v>242</v>
      </c>
      <c r="R911" s="375"/>
      <c r="S911" s="375"/>
      <c r="T911" s="93"/>
      <c r="U911" s="11"/>
      <c r="V911" s="320">
        <v>0</v>
      </c>
      <c r="W911" s="372" t="str">
        <f>IF(OR(G911="Collectors",G911="Special Pricing",G911="Boutique",G911="leafjoy littles",G911="Premium"),
    IF(V911&gt;0,"Show","Hide"),
    IF(V911 &gt;= _xlfn.XLOOKUP(F911,'Min table'!C$3:C$5,),"Show","Hide")
)</f>
        <v>Hide</v>
      </c>
      <c r="X911" s="317" t="s">
        <v>2545</v>
      </c>
      <c r="Y911" s="317" t="s">
        <v>2546</v>
      </c>
    </row>
    <row r="912" spans="3:25" ht="18.75" hidden="1" x14ac:dyDescent="0.3">
      <c r="C912" s="322"/>
      <c r="D912" s="9"/>
      <c r="E912" s="9"/>
      <c r="F912" s="21" t="s">
        <v>75</v>
      </c>
      <c r="G912" s="20" t="s">
        <v>942</v>
      </c>
      <c r="H912" s="377" t="s">
        <v>1392</v>
      </c>
      <c r="I912" s="377"/>
      <c r="J912" s="377" t="s">
        <v>1393</v>
      </c>
      <c r="K912" s="377"/>
      <c r="L912" s="1"/>
      <c r="M912" s="2"/>
      <c r="N912" s="19">
        <v>11.5</v>
      </c>
      <c r="O912" s="22" t="str">
        <f t="shared" si="44"/>
        <v/>
      </c>
      <c r="P912" s="19" t="s">
        <v>881</v>
      </c>
      <c r="Q912" s="375" t="s">
        <v>242</v>
      </c>
      <c r="R912" s="375"/>
      <c r="S912" s="375"/>
      <c r="T912" s="93"/>
      <c r="U912" s="11"/>
      <c r="V912" s="320">
        <v>0</v>
      </c>
      <c r="W912" s="372" t="str">
        <f>IF(OR(G912="Collectors",G912="Special Pricing",G912="Boutique",G912="leafjoy littles",G912="Premium"),
    IF(V912&gt;0,"Show","Hide"),
    IF(V912 &gt;= _xlfn.XLOOKUP(F912,'Min table'!C$3:C$5,),"Show","Hide")
)</f>
        <v>Hide</v>
      </c>
      <c r="X912" s="317" t="s">
        <v>2546</v>
      </c>
      <c r="Y912" s="317" t="s">
        <v>2547</v>
      </c>
    </row>
    <row r="913" spans="3:25" ht="18.75" hidden="1" x14ac:dyDescent="0.3">
      <c r="C913" s="322"/>
      <c r="D913" s="9"/>
      <c r="E913" s="9"/>
      <c r="F913" s="21" t="s">
        <v>75</v>
      </c>
      <c r="G913" s="20" t="s">
        <v>945</v>
      </c>
      <c r="H913" s="377" t="s">
        <v>1887</v>
      </c>
      <c r="I913" s="377"/>
      <c r="J913" s="377"/>
      <c r="K913" s="377"/>
      <c r="L913" s="1"/>
      <c r="M913" s="2"/>
      <c r="N913" s="19">
        <v>8.5</v>
      </c>
      <c r="O913" s="22" t="str">
        <f t="shared" ref="O913" si="46">IF(AND(L913="",M913=""),"",(L913*N913)+(M913*(N913+2.25)))</f>
        <v/>
      </c>
      <c r="P913" s="19" t="s">
        <v>231</v>
      </c>
      <c r="Q913" s="375" t="s">
        <v>224</v>
      </c>
      <c r="R913" s="375"/>
      <c r="S913" s="375"/>
      <c r="T913" s="93"/>
      <c r="U913" s="11"/>
      <c r="V913" s="320">
        <v>0</v>
      </c>
      <c r="W913" s="372" t="str">
        <f>IF(OR(G913="Collectors",G913="Special Pricing",G913="Boutique",G913="leafjoy littles",G913="Premium"),
    IF(V913&gt;0,"Show","Hide"),
    IF(V913 &gt;= _xlfn.XLOOKUP(F913,'Min table'!C$3:C$5,),"Show","Hide")
)</f>
        <v>Hide</v>
      </c>
      <c r="X913" s="317" t="s">
        <v>2547</v>
      </c>
      <c r="Y913" s="317" t="s">
        <v>2548</v>
      </c>
    </row>
    <row r="914" spans="3:25" ht="18.75" hidden="1" x14ac:dyDescent="0.3">
      <c r="C914" s="322"/>
      <c r="D914" s="9"/>
      <c r="E914" s="9"/>
      <c r="F914" s="21" t="s">
        <v>75</v>
      </c>
      <c r="G914" s="20" t="s">
        <v>945</v>
      </c>
      <c r="H914" s="377" t="s">
        <v>1394</v>
      </c>
      <c r="I914" s="377"/>
      <c r="J914" s="377" t="s">
        <v>1395</v>
      </c>
      <c r="K914" s="377"/>
      <c r="L914" s="1"/>
      <c r="M914" s="2"/>
      <c r="N914" s="19">
        <v>8.5</v>
      </c>
      <c r="O914" s="22" t="str">
        <f t="shared" si="44"/>
        <v/>
      </c>
      <c r="P914" s="19" t="s">
        <v>1862</v>
      </c>
      <c r="Q914" s="375" t="s">
        <v>224</v>
      </c>
      <c r="R914" s="375"/>
      <c r="S914" s="375"/>
      <c r="T914" s="93"/>
      <c r="U914" s="11"/>
      <c r="V914" s="320">
        <v>0</v>
      </c>
      <c r="W914" s="372" t="str">
        <f>IF(OR(G914="Collectors",G914="Special Pricing",G914="Boutique",G914="leafjoy littles",G914="Premium"),
    IF(V914&gt;0,"Show","Hide"),
    IF(V914 &gt;= _xlfn.XLOOKUP(F914,'Min table'!C$3:C$5,),"Show","Hide")
)</f>
        <v>Hide</v>
      </c>
      <c r="X914" s="317" t="s">
        <v>2548</v>
      </c>
      <c r="Y914" s="317" t="s">
        <v>2549</v>
      </c>
    </row>
    <row r="915" spans="3:25" ht="18.75" hidden="1" x14ac:dyDescent="0.3">
      <c r="C915" s="322"/>
      <c r="D915" s="9"/>
      <c r="E915" s="9"/>
      <c r="F915" s="21" t="s">
        <v>75</v>
      </c>
      <c r="G915" s="20" t="s">
        <v>2248</v>
      </c>
      <c r="H915" s="377" t="s">
        <v>2601</v>
      </c>
      <c r="I915" s="377"/>
      <c r="J915" s="377"/>
      <c r="K915" s="377"/>
      <c r="L915" s="1"/>
      <c r="M915" s="2"/>
      <c r="N915" s="19">
        <v>13.15</v>
      </c>
      <c r="O915" s="22"/>
      <c r="P915" s="19" t="s">
        <v>2250</v>
      </c>
      <c r="Q915" s="375" t="s">
        <v>242</v>
      </c>
      <c r="R915" s="375"/>
      <c r="S915" s="375"/>
      <c r="T915" s="93"/>
      <c r="U915" s="11"/>
      <c r="V915" s="320">
        <v>0</v>
      </c>
      <c r="W915" s="372" t="e">
        <f>IF(OR(G915="Collectors",G915="Special Pricing",G915="Boutique",G915="leafjoy littles",G915="Premium"),
    IF(V915&gt;0,"Show","Hide"),
    IF(V915 &gt;= _xlfn.XLOOKUP(F915,'Min table'!C$3:C$5,),"Show","Hide")
)</f>
        <v>#VALUE!</v>
      </c>
      <c r="X915" s="317" t="s">
        <v>2630</v>
      </c>
    </row>
    <row r="916" spans="3:25" ht="18.75" hidden="1" x14ac:dyDescent="0.3">
      <c r="C916" s="322"/>
      <c r="D916" s="9"/>
      <c r="E916" s="9"/>
      <c r="F916" s="21" t="s">
        <v>75</v>
      </c>
      <c r="G916" s="20" t="s">
        <v>942</v>
      </c>
      <c r="H916" s="377" t="s">
        <v>1396</v>
      </c>
      <c r="I916" s="377"/>
      <c r="J916" s="377" t="s">
        <v>1397</v>
      </c>
      <c r="K916" s="377"/>
      <c r="L916" s="1"/>
      <c r="M916" s="2"/>
      <c r="N916" s="19">
        <v>11.5</v>
      </c>
      <c r="O916" s="22" t="str">
        <f t="shared" si="44"/>
        <v/>
      </c>
      <c r="P916" s="19" t="s">
        <v>1398</v>
      </c>
      <c r="Q916" s="375" t="s">
        <v>242</v>
      </c>
      <c r="R916" s="375"/>
      <c r="S916" s="375"/>
      <c r="T916" s="93"/>
      <c r="U916" s="11"/>
      <c r="V916" s="320">
        <v>0</v>
      </c>
      <c r="W916" s="372" t="str">
        <f>IF(OR(G916="Collectors",G916="Special Pricing",G916="Boutique",G916="leafjoy littles",G916="Premium"),
    IF(V916&gt;0,"Show","Hide"),
    IF(V916 &gt;= _xlfn.XLOOKUP(F916,'Min table'!C$3:C$5,),"Show","Hide")
)</f>
        <v>Hide</v>
      </c>
      <c r="X916" s="317" t="s">
        <v>2549</v>
      </c>
      <c r="Y916" s="317" t="s">
        <v>2550</v>
      </c>
    </row>
    <row r="917" spans="3:25" ht="18.75" hidden="1" x14ac:dyDescent="0.3">
      <c r="C917" s="322"/>
      <c r="D917" s="9"/>
      <c r="E917" s="9"/>
      <c r="F917" s="21" t="s">
        <v>75</v>
      </c>
      <c r="G917" s="20" t="s">
        <v>991</v>
      </c>
      <c r="H917" s="377" t="s">
        <v>1399</v>
      </c>
      <c r="I917" s="377"/>
      <c r="J917" s="377" t="s">
        <v>1400</v>
      </c>
      <c r="K917" s="377"/>
      <c r="L917" s="1"/>
      <c r="M917" s="2"/>
      <c r="N917" s="19">
        <v>20</v>
      </c>
      <c r="O917" s="22" t="str">
        <f t="shared" si="44"/>
        <v/>
      </c>
      <c r="P917" s="19" t="s">
        <v>1401</v>
      </c>
      <c r="Q917" s="375" t="s">
        <v>341</v>
      </c>
      <c r="R917" s="375"/>
      <c r="S917" s="375"/>
      <c r="T917" s="93"/>
      <c r="U917" s="11"/>
      <c r="V917" s="320">
        <v>0</v>
      </c>
      <c r="W917" s="372" t="str">
        <f>IF(OR(G917="Collectors",G917="Special Pricing",G917="Boutique",G917="leafjoy littles",G917="Premium"),
    IF(V917&gt;0,"Show","Hide"),
    IF(V917 &gt;= _xlfn.XLOOKUP(F917,'Min table'!C$3:C$5,),"Show","Hide")
)</f>
        <v>Hide</v>
      </c>
      <c r="X917" s="317" t="s">
        <v>2550</v>
      </c>
      <c r="Y917" s="317" t="s">
        <v>2551</v>
      </c>
    </row>
    <row r="918" spans="3:25" ht="18.75" hidden="1" x14ac:dyDescent="0.3">
      <c r="C918" s="322"/>
      <c r="D918" s="9"/>
      <c r="E918" s="9"/>
      <c r="F918" s="21" t="s">
        <v>75</v>
      </c>
      <c r="G918" s="20" t="s">
        <v>2248</v>
      </c>
      <c r="H918" s="377" t="s">
        <v>2600</v>
      </c>
      <c r="I918" s="377"/>
      <c r="J918" s="377"/>
      <c r="K918" s="377"/>
      <c r="L918" s="1"/>
      <c r="M918" s="2"/>
      <c r="N918" s="19">
        <v>13.15</v>
      </c>
      <c r="O918" s="22"/>
      <c r="P918" s="19" t="s">
        <v>2250</v>
      </c>
      <c r="Q918" s="375" t="s">
        <v>242</v>
      </c>
      <c r="R918" s="375"/>
      <c r="S918" s="375"/>
      <c r="T918" s="93"/>
      <c r="U918" s="11"/>
      <c r="V918" s="320">
        <v>0</v>
      </c>
      <c r="W918" s="372" t="e">
        <f>IF(OR(G918="Collectors",G918="Special Pricing",G918="Boutique",G918="leafjoy littles",G918="Premium"),
    IF(V918&gt;0,"Show","Hide"),
    IF(V918 &gt;= _xlfn.XLOOKUP(F918,'Min table'!C$3:C$5,),"Show","Hide")
)</f>
        <v>#VALUE!</v>
      </c>
      <c r="X918" s="317" t="s">
        <v>2631</v>
      </c>
    </row>
    <row r="919" spans="3:25" ht="18.75" hidden="1" x14ac:dyDescent="0.3">
      <c r="C919" s="322"/>
      <c r="D919" s="9"/>
      <c r="E919" s="9"/>
      <c r="F919" s="21" t="s">
        <v>75</v>
      </c>
      <c r="G919" s="20" t="s">
        <v>942</v>
      </c>
      <c r="H919" s="377" t="s">
        <v>1402</v>
      </c>
      <c r="I919" s="377"/>
      <c r="J919" s="377" t="s">
        <v>1403</v>
      </c>
      <c r="K919" s="377"/>
      <c r="L919" s="1"/>
      <c r="M919" s="2"/>
      <c r="N919" s="19">
        <v>11.5</v>
      </c>
      <c r="O919" s="22" t="str">
        <f t="shared" si="44"/>
        <v/>
      </c>
      <c r="P919" s="19" t="s">
        <v>1401</v>
      </c>
      <c r="Q919" s="375" t="s">
        <v>242</v>
      </c>
      <c r="R919" s="375"/>
      <c r="S919" s="375"/>
      <c r="T919" s="93"/>
      <c r="U919" s="11"/>
      <c r="V919" s="320">
        <v>0</v>
      </c>
      <c r="W919" s="372" t="str">
        <f>IF(OR(G919="Collectors",G919="Special Pricing",G919="Boutique",G919="leafjoy littles",G919="Premium"),
    IF(V919&gt;0,"Show","Hide"),
    IF(V919 &gt;= _xlfn.XLOOKUP(F919,'Min table'!C$3:C$5,),"Show","Hide")
)</f>
        <v>Hide</v>
      </c>
      <c r="X919" s="317" t="s">
        <v>2551</v>
      </c>
      <c r="Y919" s="317" t="s">
        <v>2552</v>
      </c>
    </row>
    <row r="920" spans="3:25" ht="18.75" hidden="1" x14ac:dyDescent="0.3">
      <c r="C920" s="322"/>
      <c r="D920" s="9"/>
      <c r="E920" s="9"/>
      <c r="F920" s="21" t="s">
        <v>75</v>
      </c>
      <c r="G920" s="20"/>
      <c r="H920" s="377" t="s">
        <v>1404</v>
      </c>
      <c r="I920" s="377"/>
      <c r="J920" s="377" t="s">
        <v>1405</v>
      </c>
      <c r="K920" s="377"/>
      <c r="L920" s="1"/>
      <c r="M920" s="2"/>
      <c r="N920" s="19"/>
      <c r="O920" s="22" t="str">
        <f t="shared" si="44"/>
        <v/>
      </c>
      <c r="P920" s="19" t="s">
        <v>1406</v>
      </c>
      <c r="Q920" s="375"/>
      <c r="R920" s="375"/>
      <c r="S920" s="375"/>
      <c r="T920" s="93"/>
      <c r="U920" s="11"/>
      <c r="V920" s="320">
        <v>2</v>
      </c>
      <c r="W920" s="372" t="e">
        <f>IF(OR(G920="Collectors",G920="Special Pricing",G920="Boutique",G920="leafjoy littles",G920="Premium"),
    IF(V920&gt;0,"Show","Hide"),
    IF(V920 &gt;= _xlfn.XLOOKUP(F920,'Min table'!C$3:C$5,),"Show","Hide")
)</f>
        <v>#VALUE!</v>
      </c>
      <c r="X920" s="317" t="s">
        <v>2552</v>
      </c>
      <c r="Y920" s="317" t="s">
        <v>2553</v>
      </c>
    </row>
    <row r="921" spans="3:25" ht="18.75" hidden="1" x14ac:dyDescent="0.3">
      <c r="C921" s="322"/>
      <c r="D921" s="9"/>
      <c r="E921" s="9"/>
      <c r="F921" s="21" t="s">
        <v>75</v>
      </c>
      <c r="G921" s="20" t="s">
        <v>945</v>
      </c>
      <c r="H921" s="377" t="s">
        <v>1407</v>
      </c>
      <c r="I921" s="377"/>
      <c r="J921" s="377" t="s">
        <v>1408</v>
      </c>
      <c r="K921" s="377"/>
      <c r="L921" s="1"/>
      <c r="M921" s="2"/>
      <c r="N921" s="19">
        <v>8.5</v>
      </c>
      <c r="O921" s="22" t="str">
        <f t="shared" si="44"/>
        <v/>
      </c>
      <c r="P921" s="19" t="s">
        <v>1409</v>
      </c>
      <c r="Q921" s="375" t="s">
        <v>224</v>
      </c>
      <c r="R921" s="375"/>
      <c r="S921" s="375"/>
      <c r="T921" s="93"/>
      <c r="U921" s="11"/>
      <c r="V921" s="320">
        <v>0</v>
      </c>
      <c r="W921" s="372" t="str">
        <f>IF(OR(G921="Collectors",G921="Special Pricing",G921="Boutique",G921="leafjoy littles",G921="Premium"),
    IF(V921&gt;0,"Show","Hide"),
    IF(V921 &gt;= _xlfn.XLOOKUP(F921,'Min table'!C$3:C$5,),"Show","Hide")
)</f>
        <v>Hide</v>
      </c>
      <c r="X921" s="317" t="s">
        <v>2553</v>
      </c>
      <c r="Y921" s="317" t="s">
        <v>2554</v>
      </c>
    </row>
    <row r="922" spans="3:25" ht="18.75" hidden="1" x14ac:dyDescent="0.3">
      <c r="C922" s="322"/>
      <c r="D922" s="9"/>
      <c r="E922" s="9"/>
      <c r="F922" s="21" t="s">
        <v>75</v>
      </c>
      <c r="G922" s="20" t="s">
        <v>945</v>
      </c>
      <c r="H922" s="377" t="s">
        <v>1410</v>
      </c>
      <c r="I922" s="377"/>
      <c r="J922" s="377" t="s">
        <v>1411</v>
      </c>
      <c r="K922" s="377"/>
      <c r="L922" s="1"/>
      <c r="M922" s="2"/>
      <c r="N922" s="19">
        <v>8.5</v>
      </c>
      <c r="O922" s="22" t="str">
        <f t="shared" si="44"/>
        <v/>
      </c>
      <c r="P922" s="19" t="s">
        <v>1412</v>
      </c>
      <c r="Q922" s="375" t="s">
        <v>224</v>
      </c>
      <c r="R922" s="375"/>
      <c r="S922" s="375"/>
      <c r="T922" s="93"/>
      <c r="U922" s="11"/>
      <c r="V922" s="320">
        <v>0</v>
      </c>
      <c r="W922" s="372" t="str">
        <f>IF(OR(G922="Collectors",G922="Special Pricing",G922="Boutique",G922="leafjoy littles",G922="Premium"),
    IF(V922&gt;0,"Show","Hide"),
    IF(V922 &gt;= _xlfn.XLOOKUP(F922,'Min table'!C$3:C$5,),"Show","Hide")
)</f>
        <v>Hide</v>
      </c>
      <c r="X922" s="317" t="s">
        <v>2554</v>
      </c>
      <c r="Y922" s="317" t="s">
        <v>2555</v>
      </c>
    </row>
    <row r="923" spans="3:25" ht="18.75" hidden="1" x14ac:dyDescent="0.3">
      <c r="C923" s="322"/>
      <c r="D923" s="9"/>
      <c r="E923" s="9"/>
      <c r="F923" s="21" t="s">
        <v>75</v>
      </c>
      <c r="G923" s="20" t="s">
        <v>945</v>
      </c>
      <c r="H923" s="377" t="s">
        <v>1413</v>
      </c>
      <c r="I923" s="377"/>
      <c r="J923" s="377" t="s">
        <v>1414</v>
      </c>
      <c r="K923" s="377"/>
      <c r="L923" s="1"/>
      <c r="M923" s="2"/>
      <c r="N923" s="19">
        <v>8.5</v>
      </c>
      <c r="O923" s="22" t="str">
        <f t="shared" si="44"/>
        <v/>
      </c>
      <c r="P923" s="19" t="s">
        <v>1415</v>
      </c>
      <c r="Q923" s="375" t="s">
        <v>224</v>
      </c>
      <c r="R923" s="375"/>
      <c r="S923" s="375"/>
      <c r="T923" s="93"/>
      <c r="U923" s="11"/>
      <c r="V923" s="320">
        <v>0</v>
      </c>
      <c r="W923" s="372" t="str">
        <f>IF(OR(G923="Collectors",G923="Special Pricing",G923="Boutique",G923="leafjoy littles",G923="Premium"),
    IF(V923&gt;0,"Show","Hide"),
    IF(V923 &gt;= _xlfn.XLOOKUP(F923,'Min table'!C$3:C$5,),"Show","Hide")
)</f>
        <v>Hide</v>
      </c>
      <c r="X923" s="317" t="s">
        <v>2555</v>
      </c>
      <c r="Y923" s="317" t="s">
        <v>2556</v>
      </c>
    </row>
    <row r="924" spans="3:25" ht="18.75" hidden="1" x14ac:dyDescent="0.3">
      <c r="C924" s="322"/>
      <c r="D924" s="9"/>
      <c r="E924" s="9"/>
      <c r="F924" s="21" t="s">
        <v>75</v>
      </c>
      <c r="G924" s="20" t="s">
        <v>945</v>
      </c>
      <c r="H924" s="377" t="s">
        <v>1416</v>
      </c>
      <c r="I924" s="377"/>
      <c r="J924" s="377" t="s">
        <v>1417</v>
      </c>
      <c r="K924" s="377"/>
      <c r="L924" s="1"/>
      <c r="M924" s="2"/>
      <c r="N924" s="19">
        <v>8.5</v>
      </c>
      <c r="O924" s="22" t="str">
        <f t="shared" si="44"/>
        <v/>
      </c>
      <c r="P924" s="19" t="s">
        <v>1418</v>
      </c>
      <c r="Q924" s="375" t="s">
        <v>224</v>
      </c>
      <c r="R924" s="375"/>
      <c r="S924" s="375"/>
      <c r="T924" s="93"/>
      <c r="U924" s="11"/>
      <c r="V924" s="320">
        <v>0</v>
      </c>
      <c r="W924" s="372" t="str">
        <f>IF(OR(G924="Collectors",G924="Special Pricing",G924="Boutique",G924="leafjoy littles",G924="Premium"),
    IF(V924&gt;0,"Show","Hide"),
    IF(V924 &gt;= _xlfn.XLOOKUP(F924,'Min table'!C$3:C$5,),"Show","Hide")
)</f>
        <v>Hide</v>
      </c>
      <c r="X924" s="317" t="s">
        <v>2556</v>
      </c>
      <c r="Y924" s="317" t="s">
        <v>1823</v>
      </c>
    </row>
    <row r="925" spans="3:25" ht="18.75" hidden="1" x14ac:dyDescent="0.3">
      <c r="C925" s="322"/>
      <c r="D925" s="9"/>
      <c r="E925" s="9"/>
      <c r="F925" s="21" t="s">
        <v>75</v>
      </c>
      <c r="G925" s="20" t="s">
        <v>945</v>
      </c>
      <c r="H925" s="414" t="s">
        <v>2781</v>
      </c>
      <c r="I925" s="414"/>
      <c r="J925" s="414"/>
      <c r="K925" s="414"/>
      <c r="L925" s="1"/>
      <c r="M925" s="2"/>
      <c r="N925" s="19">
        <v>8.5</v>
      </c>
      <c r="O925" s="22" t="str">
        <f t="shared" ref="O925" si="47">IF(AND(L925="",M925=""),"",(L925*N925)+(M925*(N925+2.25)))</f>
        <v/>
      </c>
      <c r="P925" s="19" t="s">
        <v>1862</v>
      </c>
      <c r="Q925" s="375" t="s">
        <v>224</v>
      </c>
      <c r="R925" s="375"/>
      <c r="S925" s="375"/>
      <c r="T925" s="93"/>
      <c r="U925" s="11"/>
      <c r="V925" s="320">
        <v>1</v>
      </c>
      <c r="W925" s="372" t="str">
        <f>IF(OR(G925="Collectors",G925="Special Pricing",G925="Boutique",G925="leafjoy littles",G925="Premium"),
    IF(V925&gt;0,"Show","Hide"),
    IF(V925 &gt;= _xlfn.XLOOKUP(F925,'Min table'!C$3:C$5,),"Show","Hide")
)</f>
        <v>Show</v>
      </c>
      <c r="X925" s="317" t="s">
        <v>2781</v>
      </c>
    </row>
    <row r="926" spans="3:25" ht="29.25" thickBot="1" x14ac:dyDescent="0.3">
      <c r="C926" s="322"/>
      <c r="D926" s="9"/>
      <c r="E926" s="9"/>
      <c r="F926" s="271"/>
      <c r="G926" s="285"/>
      <c r="H926" s="286"/>
      <c r="I926" s="286"/>
      <c r="J926" s="286"/>
      <c r="K926" s="308" t="s">
        <v>2746</v>
      </c>
      <c r="L926" s="182">
        <f>SUBTOTAL(9,L615:L924)/12</f>
        <v>0</v>
      </c>
      <c r="M926" s="182">
        <f>SUBTOTAL(9,M615:M924)/12</f>
        <v>0</v>
      </c>
      <c r="N926" s="284"/>
      <c r="O926" s="23">
        <f>SUBTOTAL(9,O615:O924)</f>
        <v>0</v>
      </c>
      <c r="P926" s="209"/>
      <c r="Q926" s="256"/>
      <c r="R926" s="257"/>
      <c r="S926" s="259"/>
      <c r="T926" s="108"/>
      <c r="U926" s="11"/>
    </row>
    <row r="927" spans="3:25" ht="29.25" thickTop="1" x14ac:dyDescent="0.25">
      <c r="C927" s="322"/>
      <c r="D927" s="9"/>
      <c r="E927" s="9"/>
      <c r="F927" s="287"/>
      <c r="G927" s="219"/>
      <c r="H927" s="419"/>
      <c r="I927" s="419"/>
      <c r="J927" s="419"/>
      <c r="K927" s="419"/>
      <c r="L927" s="218"/>
      <c r="M927" s="218"/>
      <c r="N927" s="207"/>
      <c r="O927" s="207"/>
      <c r="P927" s="207"/>
      <c r="Q927" s="207"/>
      <c r="R927" s="254"/>
      <c r="S927" s="255"/>
      <c r="T927" s="108"/>
      <c r="U927" s="11"/>
    </row>
    <row r="928" spans="3:25" ht="28.5" x14ac:dyDescent="0.25">
      <c r="C928" s="322"/>
      <c r="D928" s="9"/>
      <c r="E928" s="9"/>
      <c r="F928" s="287"/>
      <c r="G928" s="219"/>
      <c r="H928" s="419" t="s">
        <v>2773</v>
      </c>
      <c r="I928" s="419"/>
      <c r="J928" s="419"/>
      <c r="K928" s="419"/>
      <c r="L928" s="218"/>
      <c r="M928" s="218"/>
      <c r="N928" s="207"/>
      <c r="O928" s="207"/>
      <c r="P928" s="207"/>
      <c r="Q928" s="207"/>
      <c r="R928" s="254"/>
      <c r="S928" s="255"/>
      <c r="T928" s="108"/>
      <c r="U928" s="11"/>
    </row>
    <row r="929" spans="3:25" ht="37.5" x14ac:dyDescent="0.25">
      <c r="C929" s="322"/>
      <c r="D929" s="9"/>
      <c r="E929" s="9"/>
      <c r="F929" s="287"/>
      <c r="G929" s="219"/>
      <c r="H929" s="510" t="s">
        <v>2774</v>
      </c>
      <c r="I929" s="510"/>
      <c r="J929" s="510"/>
      <c r="K929" s="511"/>
      <c r="L929" s="363" t="s">
        <v>28</v>
      </c>
      <c r="M929" s="364" t="s">
        <v>61</v>
      </c>
      <c r="N929" s="204" t="s">
        <v>30</v>
      </c>
      <c r="O929" s="205" t="s">
        <v>31</v>
      </c>
      <c r="P929" s="204" t="s">
        <v>32</v>
      </c>
      <c r="Q929" s="508" t="s">
        <v>33</v>
      </c>
      <c r="R929" s="508"/>
      <c r="S929" s="509"/>
      <c r="T929" s="103"/>
      <c r="U929" s="11"/>
      <c r="V929" s="331" t="s">
        <v>8</v>
      </c>
      <c r="W929" s="331"/>
    </row>
    <row r="930" spans="3:25" ht="18.75" hidden="1" x14ac:dyDescent="0.3">
      <c r="C930" s="322"/>
      <c r="D930" s="9"/>
      <c r="E930" s="9"/>
      <c r="F930" s="21" t="s">
        <v>62</v>
      </c>
      <c r="G930" s="20" t="s">
        <v>942</v>
      </c>
      <c r="H930" s="377" t="s">
        <v>1419</v>
      </c>
      <c r="I930" s="377"/>
      <c r="J930" s="377" t="s">
        <v>1420</v>
      </c>
      <c r="K930" s="377"/>
      <c r="L930" s="1"/>
      <c r="M930" s="2"/>
      <c r="N930" s="19">
        <v>17</v>
      </c>
      <c r="O930" s="22" t="str">
        <f t="shared" ref="O930:O1012" si="48">IF(AND(L930="",M930=""),"",(L930*N930)+(M930*(N930+3.47)))</f>
        <v/>
      </c>
      <c r="P930" s="19" t="s">
        <v>1421</v>
      </c>
      <c r="Q930" s="375" t="s">
        <v>655</v>
      </c>
      <c r="R930" s="375"/>
      <c r="S930" s="375"/>
      <c r="T930" s="93"/>
      <c r="U930" s="11"/>
      <c r="V930" s="320">
        <v>0</v>
      </c>
      <c r="W930" s="372" t="str">
        <f>IF(OR(G930="Collectors",G930="Special Pricing",G930="Boutique",G930="leafjoy littles",G930="Premium"),
    IF(V930&gt;0,"Show","Hide"),
    IF(V930 &gt;= _xlfn.XLOOKUP(F930,'Min table'!C$3:C$5,),"Show","Hide")
)</f>
        <v>Hide</v>
      </c>
      <c r="X930" s="317" t="s">
        <v>2632</v>
      </c>
      <c r="Y930" s="317" t="s">
        <v>1422</v>
      </c>
    </row>
    <row r="931" spans="3:25" ht="18.75" hidden="1" x14ac:dyDescent="0.3">
      <c r="C931" s="322"/>
      <c r="D931" s="9"/>
      <c r="E931" s="9"/>
      <c r="F931" s="21" t="s">
        <v>62</v>
      </c>
      <c r="G931" s="20" t="s">
        <v>945</v>
      </c>
      <c r="H931" s="377" t="s">
        <v>1714</v>
      </c>
      <c r="I931" s="377"/>
      <c r="J931" s="377"/>
      <c r="K931" s="377"/>
      <c r="L931" s="1"/>
      <c r="M931" s="2"/>
      <c r="N931" s="19">
        <v>13</v>
      </c>
      <c r="O931" s="22" t="str">
        <f t="shared" si="48"/>
        <v/>
      </c>
      <c r="P931" s="19" t="s">
        <v>1862</v>
      </c>
      <c r="Q931" s="375" t="s">
        <v>566</v>
      </c>
      <c r="R931" s="375"/>
      <c r="S931" s="375"/>
      <c r="T931" s="93"/>
      <c r="U931" s="11"/>
      <c r="V931" s="320">
        <v>0</v>
      </c>
      <c r="W931" s="372" t="str">
        <f>IF(OR(G931="Collectors",G931="Special Pricing",G931="Boutique",G931="leafjoy littles",G931="Premium"),
    IF(V931&gt;0,"Show","Hide"),
    IF(V931 &gt;= _xlfn.XLOOKUP(F931,'Min table'!C$3:C$5,),"Show","Hide")
)</f>
        <v>Hide</v>
      </c>
      <c r="X931" s="317" t="s">
        <v>2633</v>
      </c>
      <c r="Y931" s="317" t="s">
        <v>1714</v>
      </c>
    </row>
    <row r="932" spans="3:25" ht="18.75" hidden="1" x14ac:dyDescent="0.3">
      <c r="C932" s="322"/>
      <c r="D932" s="9"/>
      <c r="E932" s="9"/>
      <c r="F932" s="21" t="s">
        <v>62</v>
      </c>
      <c r="G932" s="20" t="s">
        <v>991</v>
      </c>
      <c r="H932" s="376" t="s">
        <v>1423</v>
      </c>
      <c r="I932" s="376"/>
      <c r="J932" s="376" t="s">
        <v>1424</v>
      </c>
      <c r="K932" s="376"/>
      <c r="L932" s="1"/>
      <c r="M932" s="2"/>
      <c r="N932" s="19">
        <v>30</v>
      </c>
      <c r="O932" s="22" t="str">
        <f t="shared" si="48"/>
        <v/>
      </c>
      <c r="P932" s="19" t="s">
        <v>600</v>
      </c>
      <c r="Q932" s="375" t="s">
        <v>66</v>
      </c>
      <c r="R932" s="375"/>
      <c r="S932" s="375"/>
      <c r="T932" s="93"/>
      <c r="U932" s="11"/>
      <c r="V932" s="320">
        <v>9</v>
      </c>
      <c r="W932" s="372" t="str">
        <f>IF(OR(G932="Collectors",G932="Special Pricing",G932="Boutique",G932="leafjoy littles",G932="Premium"),
    IF(V932&gt;0,"Show","Hide"),
    IF(V932 &gt;= _xlfn.XLOOKUP(F932,'Min table'!C$3:C$5,),"Show","Hide")
)</f>
        <v>Show</v>
      </c>
      <c r="X932" s="347" t="s">
        <v>2634</v>
      </c>
      <c r="Y932" s="317" t="s">
        <v>1425</v>
      </c>
    </row>
    <row r="933" spans="3:25" ht="18.75" hidden="1" x14ac:dyDescent="0.3">
      <c r="C933" s="322"/>
      <c r="D933" s="9"/>
      <c r="E933" s="9"/>
      <c r="F933" s="21" t="s">
        <v>62</v>
      </c>
      <c r="G933" s="20" t="s">
        <v>991</v>
      </c>
      <c r="H933" s="377" t="s">
        <v>1426</v>
      </c>
      <c r="I933" s="377"/>
      <c r="J933" s="377" t="s">
        <v>1427</v>
      </c>
      <c r="K933" s="377"/>
      <c r="L933" s="1"/>
      <c r="M933" s="2"/>
      <c r="N933" s="19">
        <v>30</v>
      </c>
      <c r="O933" s="22" t="str">
        <f t="shared" si="48"/>
        <v/>
      </c>
      <c r="P933" s="19" t="s">
        <v>245</v>
      </c>
      <c r="Q933" s="375" t="s">
        <v>66</v>
      </c>
      <c r="R933" s="375"/>
      <c r="S933" s="375"/>
      <c r="T933" s="93"/>
      <c r="U933" s="11"/>
      <c r="V933" s="320">
        <v>0</v>
      </c>
      <c r="W933" s="372" t="str">
        <f>IF(OR(G933="Collectors",G933="Special Pricing",G933="Boutique",G933="leafjoy littles",G933="Premium"),
    IF(V933&gt;0,"Show","Hide"),
    IF(V933 &gt;= _xlfn.XLOOKUP(F933,'Min table'!C$3:C$5,),"Show","Hide")
)</f>
        <v>Hide</v>
      </c>
      <c r="X933" s="342" t="s">
        <v>2635</v>
      </c>
      <c r="Y933" s="317" t="s">
        <v>1428</v>
      </c>
    </row>
    <row r="934" spans="3:25" ht="18.75" hidden="1" x14ac:dyDescent="0.3">
      <c r="C934" s="322"/>
      <c r="D934" s="9"/>
      <c r="E934" s="9"/>
      <c r="F934" s="21" t="s">
        <v>62</v>
      </c>
      <c r="G934" s="20" t="s">
        <v>945</v>
      </c>
      <c r="H934" s="377" t="s">
        <v>1724</v>
      </c>
      <c r="I934" s="377"/>
      <c r="J934" s="377"/>
      <c r="K934" s="377"/>
      <c r="L934" s="1"/>
      <c r="M934" s="2"/>
      <c r="N934" s="19">
        <v>13</v>
      </c>
      <c r="O934" s="22" t="str">
        <f t="shared" si="48"/>
        <v/>
      </c>
      <c r="P934" s="19" t="s">
        <v>1862</v>
      </c>
      <c r="Q934" s="375" t="s">
        <v>566</v>
      </c>
      <c r="R934" s="375"/>
      <c r="S934" s="375"/>
      <c r="T934" s="93"/>
      <c r="U934" s="11"/>
      <c r="V934" s="320">
        <v>0</v>
      </c>
      <c r="W934" s="372" t="str">
        <f>IF(OR(G934="Collectors",G934="Special Pricing",G934="Boutique",G934="leafjoy littles",G934="Premium"),
    IF(V934&gt;0,"Show","Hide"),
    IF(V934 &gt;= _xlfn.XLOOKUP(F934,'Min table'!C$3:C$5,),"Show","Hide")
)</f>
        <v>Hide</v>
      </c>
      <c r="X934" s="347" t="s">
        <v>2307</v>
      </c>
      <c r="Y934" s="317" t="s">
        <v>1832</v>
      </c>
    </row>
    <row r="935" spans="3:25" ht="18.75" hidden="1" x14ac:dyDescent="0.3">
      <c r="C935" s="322"/>
      <c r="D935" s="9"/>
      <c r="E935" s="9"/>
      <c r="F935" s="21" t="s">
        <v>62</v>
      </c>
      <c r="G935" s="20" t="s">
        <v>942</v>
      </c>
      <c r="H935" s="377" t="s">
        <v>976</v>
      </c>
      <c r="I935" s="377"/>
      <c r="J935" s="377" t="s">
        <v>1429</v>
      </c>
      <c r="K935" s="377"/>
      <c r="L935" s="1"/>
      <c r="M935" s="2"/>
      <c r="N935" s="19">
        <v>17</v>
      </c>
      <c r="O935" s="22" t="str">
        <f t="shared" si="48"/>
        <v/>
      </c>
      <c r="P935" s="19" t="s">
        <v>1430</v>
      </c>
      <c r="Q935" s="375" t="s">
        <v>655</v>
      </c>
      <c r="R935" s="375"/>
      <c r="S935" s="375"/>
      <c r="T935" s="93"/>
      <c r="U935" s="11"/>
      <c r="V935" s="320">
        <v>0</v>
      </c>
      <c r="W935" s="372" t="str">
        <f>IF(OR(G935="Collectors",G935="Special Pricing",G935="Boutique",G935="leafjoy littles",G935="Premium"),
    IF(V935&gt;0,"Show","Hide"),
    IF(V935 &gt;= _xlfn.XLOOKUP(F935,'Min table'!C$3:C$5,),"Show","Hide")
)</f>
        <v>Hide</v>
      </c>
      <c r="X935" s="317" t="s">
        <v>2308</v>
      </c>
      <c r="Y935" s="317" t="s">
        <v>1431</v>
      </c>
    </row>
    <row r="936" spans="3:25" ht="18.75" hidden="1" x14ac:dyDescent="0.3">
      <c r="C936" s="322"/>
      <c r="D936" s="9"/>
      <c r="E936" s="9"/>
      <c r="F936" s="21" t="s">
        <v>62</v>
      </c>
      <c r="G936" s="20" t="s">
        <v>991</v>
      </c>
      <c r="H936" s="377" t="s">
        <v>63</v>
      </c>
      <c r="I936" s="377"/>
      <c r="J936" s="377" t="s">
        <v>64</v>
      </c>
      <c r="K936" s="377"/>
      <c r="L936" s="1"/>
      <c r="M936" s="2"/>
      <c r="N936" s="19">
        <v>30</v>
      </c>
      <c r="O936" s="22" t="str">
        <f t="shared" si="48"/>
        <v/>
      </c>
      <c r="P936" s="19" t="s">
        <v>65</v>
      </c>
      <c r="Q936" s="375" t="s">
        <v>66</v>
      </c>
      <c r="R936" s="375"/>
      <c r="S936" s="375"/>
      <c r="T936" s="93"/>
      <c r="U936" s="11"/>
      <c r="V936" s="320">
        <v>-1</v>
      </c>
      <c r="W936" s="372" t="str">
        <f>IF(OR(G936="Collectors",G936="Special Pricing",G936="Boutique",G936="leafjoy littles",G936="Premium"),
    IF(V936&gt;0,"Show","Hide"),
    IF(V936 &gt;= _xlfn.XLOOKUP(F936,'Min table'!C$3:C$5,),"Show","Hide")
)</f>
        <v>Hide</v>
      </c>
      <c r="X936" s="317" t="s">
        <v>2636</v>
      </c>
      <c r="Y936" s="317" t="s">
        <v>1432</v>
      </c>
    </row>
    <row r="937" spans="3:25" ht="18.75" hidden="1" x14ac:dyDescent="0.3">
      <c r="C937" s="322"/>
      <c r="D937" s="9"/>
      <c r="E937" s="9"/>
      <c r="F937" s="21" t="s">
        <v>62</v>
      </c>
      <c r="G937" s="20" t="s">
        <v>942</v>
      </c>
      <c r="H937" s="377" t="s">
        <v>1433</v>
      </c>
      <c r="I937" s="377"/>
      <c r="J937" s="377" t="s">
        <v>1434</v>
      </c>
      <c r="K937" s="377"/>
      <c r="L937" s="1"/>
      <c r="M937" s="2"/>
      <c r="N937" s="19">
        <v>17</v>
      </c>
      <c r="O937" s="22" t="str">
        <f t="shared" si="48"/>
        <v/>
      </c>
      <c r="P937" s="19" t="s">
        <v>1435</v>
      </c>
      <c r="Q937" s="375" t="s">
        <v>655</v>
      </c>
      <c r="R937" s="375"/>
      <c r="S937" s="375"/>
      <c r="T937" s="93"/>
      <c r="U937" s="11"/>
      <c r="V937" s="320">
        <v>0</v>
      </c>
      <c r="W937" s="372" t="str">
        <f>IF(OR(G937="Collectors",G937="Special Pricing",G937="Boutique",G937="leafjoy littles",G937="Premium"),
    IF(V937&gt;0,"Show","Hide"),
    IF(V937 &gt;= _xlfn.XLOOKUP(F937,'Min table'!C$3:C$5,),"Show","Hide")
)</f>
        <v>Hide</v>
      </c>
      <c r="X937" s="317" t="s">
        <v>2637</v>
      </c>
      <c r="Y937" s="317" t="s">
        <v>1833</v>
      </c>
    </row>
    <row r="938" spans="3:25" ht="18.75" hidden="1" x14ac:dyDescent="0.3">
      <c r="C938" s="322"/>
      <c r="D938" s="9"/>
      <c r="E938" s="9"/>
      <c r="F938" s="21" t="s">
        <v>62</v>
      </c>
      <c r="G938" s="20" t="s">
        <v>991</v>
      </c>
      <c r="H938" s="377" t="s">
        <v>67</v>
      </c>
      <c r="I938" s="377"/>
      <c r="J938" s="377" t="s">
        <v>68</v>
      </c>
      <c r="K938" s="377"/>
      <c r="L938" s="1"/>
      <c r="M938" s="2"/>
      <c r="N938" s="19">
        <v>30</v>
      </c>
      <c r="O938" s="22" t="str">
        <f t="shared" si="48"/>
        <v/>
      </c>
      <c r="P938" s="19" t="s">
        <v>65</v>
      </c>
      <c r="Q938" s="375" t="s">
        <v>66</v>
      </c>
      <c r="R938" s="375"/>
      <c r="S938" s="375"/>
      <c r="T938" s="106"/>
      <c r="U938" s="11"/>
      <c r="V938" s="320">
        <v>143</v>
      </c>
      <c r="W938" s="372" t="str">
        <f>IF(OR(G938="Collectors",G938="Special Pricing",G938="Boutique",G938="leafjoy littles",G938="Premium"),
    IF(V938&gt;0,"Show","Hide"),
    IF(V938 &gt;= _xlfn.XLOOKUP(F938,'Min table'!C$3:C$5,),"Show","Hide")
)</f>
        <v>Show</v>
      </c>
      <c r="X938" s="317" t="s">
        <v>2638</v>
      </c>
      <c r="Y938" s="317" t="s">
        <v>1436</v>
      </c>
    </row>
    <row r="939" spans="3:25" ht="18.75" hidden="1" x14ac:dyDescent="0.3">
      <c r="C939" s="322"/>
      <c r="D939" s="9"/>
      <c r="E939" s="9"/>
      <c r="F939" s="21" t="s">
        <v>62</v>
      </c>
      <c r="G939" s="20" t="s">
        <v>1437</v>
      </c>
      <c r="H939" s="377" t="s">
        <v>1438</v>
      </c>
      <c r="I939" s="377"/>
      <c r="J939" s="377" t="s">
        <v>1439</v>
      </c>
      <c r="K939" s="377"/>
      <c r="L939" s="1"/>
      <c r="M939" s="2"/>
      <c r="N939" s="19">
        <v>17</v>
      </c>
      <c r="O939" s="22" t="str">
        <f t="shared" si="48"/>
        <v/>
      </c>
      <c r="P939" s="19" t="s">
        <v>1435</v>
      </c>
      <c r="Q939" s="375" t="s">
        <v>655</v>
      </c>
      <c r="R939" s="375"/>
      <c r="S939" s="375"/>
      <c r="T939" s="93"/>
      <c r="U939" s="11"/>
      <c r="V939" s="320">
        <v>0</v>
      </c>
      <c r="W939" s="372" t="e">
        <f>IF(OR(G939="Collectors",G939="Special Pricing",G939="Boutique",G939="leafjoy littles",G939="Premium"),
    IF(V939&gt;0,"Show","Hide"),
    IF(V939 &gt;= _xlfn.XLOOKUP(F939,'Min table'!C$3:C$5,),"Show","Hide")
)</f>
        <v>#VALUE!</v>
      </c>
      <c r="X939" s="317" t="s">
        <v>2639</v>
      </c>
      <c r="Y939" s="317" t="s">
        <v>1834</v>
      </c>
    </row>
    <row r="940" spans="3:25" ht="18.75" hidden="1" x14ac:dyDescent="0.3">
      <c r="C940" s="322"/>
      <c r="D940" s="9"/>
      <c r="E940" s="9"/>
      <c r="F940" s="21" t="s">
        <v>62</v>
      </c>
      <c r="G940" s="20" t="s">
        <v>942</v>
      </c>
      <c r="H940" s="377" t="s">
        <v>1440</v>
      </c>
      <c r="I940" s="377"/>
      <c r="J940" s="377" t="s">
        <v>1441</v>
      </c>
      <c r="K940" s="377"/>
      <c r="L940" s="1"/>
      <c r="M940" s="2"/>
      <c r="N940" s="19">
        <v>17</v>
      </c>
      <c r="O940" s="22" t="str">
        <f t="shared" si="48"/>
        <v/>
      </c>
      <c r="P940" s="19" t="s">
        <v>600</v>
      </c>
      <c r="Q940" s="375" t="s">
        <v>655</v>
      </c>
      <c r="R940" s="375"/>
      <c r="S940" s="375"/>
      <c r="T940" s="93"/>
      <c r="U940" s="11"/>
      <c r="V940" s="320">
        <v>0</v>
      </c>
      <c r="W940" s="372" t="str">
        <f>IF(OR(G940="Collectors",G940="Special Pricing",G940="Boutique",G940="leafjoy littles",G940="Premium"),
    IF(V940&gt;0,"Show","Hide"),
    IF(V940 &gt;= _xlfn.XLOOKUP(F940,'Min table'!C$3:C$5,),"Show","Hide")
)</f>
        <v>Hide</v>
      </c>
      <c r="X940" s="317" t="s">
        <v>2640</v>
      </c>
      <c r="Y940" s="317" t="s">
        <v>1442</v>
      </c>
    </row>
    <row r="941" spans="3:25" ht="18.75" hidden="1" x14ac:dyDescent="0.3">
      <c r="C941" s="322"/>
      <c r="D941" s="9"/>
      <c r="E941" s="9"/>
      <c r="F941" s="21" t="s">
        <v>62</v>
      </c>
      <c r="G941" s="20" t="s">
        <v>945</v>
      </c>
      <c r="H941" s="377" t="s">
        <v>1443</v>
      </c>
      <c r="I941" s="377"/>
      <c r="J941" s="377" t="s">
        <v>1444</v>
      </c>
      <c r="K941" s="377"/>
      <c r="L941" s="1"/>
      <c r="M941" s="2"/>
      <c r="N941" s="19">
        <v>13</v>
      </c>
      <c r="O941" s="22" t="str">
        <f t="shared" si="48"/>
        <v/>
      </c>
      <c r="P941" s="19" t="s">
        <v>1445</v>
      </c>
      <c r="Q941" s="375" t="s">
        <v>566</v>
      </c>
      <c r="R941" s="375"/>
      <c r="S941" s="375"/>
      <c r="T941" s="93"/>
      <c r="U941" s="11"/>
      <c r="V941" s="320">
        <v>0</v>
      </c>
      <c r="W941" s="372" t="str">
        <f>IF(OR(G941="Collectors",G941="Special Pricing",G941="Boutique",G941="leafjoy littles",G941="Premium"),
    IF(V941&gt;0,"Show","Hide"),
    IF(V941 &gt;= _xlfn.XLOOKUP(F941,'Min table'!C$3:C$5,),"Show","Hide")
)</f>
        <v>Hide</v>
      </c>
      <c r="X941" s="317" t="s">
        <v>2641</v>
      </c>
      <c r="Y941" s="317" t="s">
        <v>1446</v>
      </c>
    </row>
    <row r="942" spans="3:25" ht="18.75" hidden="1" x14ac:dyDescent="0.3">
      <c r="C942" s="322"/>
      <c r="D942" s="9"/>
      <c r="E942" s="9"/>
      <c r="F942" s="21" t="s">
        <v>62</v>
      </c>
      <c r="G942" s="20" t="s">
        <v>2597</v>
      </c>
      <c r="H942" s="414" t="s">
        <v>2785</v>
      </c>
      <c r="I942" s="414"/>
      <c r="J942" s="414"/>
      <c r="K942" s="414"/>
      <c r="L942" s="1"/>
      <c r="M942" s="2"/>
      <c r="N942" s="19">
        <v>35.15</v>
      </c>
      <c r="O942" s="22" t="str">
        <f t="shared" ref="O942" si="49">IF(AND(L942="",M942=""),"",(L942*N942)+(M942*(N942+3.47)))</f>
        <v/>
      </c>
      <c r="P942" s="19" t="s">
        <v>2250</v>
      </c>
      <c r="Q942" s="375" t="s">
        <v>1519</v>
      </c>
      <c r="R942" s="375"/>
      <c r="S942" s="375"/>
      <c r="T942" s="93"/>
      <c r="U942" s="11"/>
      <c r="V942" s="320">
        <v>0</v>
      </c>
      <c r="W942" s="372" t="e">
        <f>IF(OR(G942="Collectors",G942="Special Pricing",G942="Boutique",G942="leafjoy littles",G942="Premium"),
    IF(V942&gt;0,"Show","Hide"),
    IF(V942 &gt;= _xlfn.XLOOKUP(F942,'Min table'!C$3:C$5,),"Show","Hide")
)</f>
        <v>#VALUE!</v>
      </c>
      <c r="X942" s="317" t="s">
        <v>2284</v>
      </c>
    </row>
    <row r="943" spans="3:25" ht="18.75" hidden="1" x14ac:dyDescent="0.3">
      <c r="C943" s="322"/>
      <c r="D943" s="9"/>
      <c r="E943" s="9"/>
      <c r="F943" s="21" t="s">
        <v>62</v>
      </c>
      <c r="G943" s="20" t="s">
        <v>1852</v>
      </c>
      <c r="H943" s="377" t="s">
        <v>2276</v>
      </c>
      <c r="I943" s="377"/>
      <c r="J943" s="377"/>
      <c r="K943" s="377"/>
      <c r="L943" s="1"/>
      <c r="M943" s="2"/>
      <c r="N943" s="19">
        <v>22.15</v>
      </c>
      <c r="O943" s="22" t="str">
        <f t="shared" si="48"/>
        <v/>
      </c>
      <c r="P943" s="19" t="s">
        <v>2250</v>
      </c>
      <c r="Q943" s="375" t="s">
        <v>1519</v>
      </c>
      <c r="R943" s="375"/>
      <c r="S943" s="375"/>
      <c r="T943" s="93"/>
      <c r="U943" s="11"/>
      <c r="V943" s="320">
        <v>1</v>
      </c>
      <c r="W943" s="372" t="e">
        <f>IF(OR(G943="Collectors",G943="Special Pricing",G943="Boutique",G943="leafjoy littles",G943="Premium"),
    IF(V943&gt;0,"Show","Hide"),
    IF(V943 &gt;= _xlfn.XLOOKUP(F943,'Min table'!C$3:C$5,),"Show","Hide")
)</f>
        <v>#VALUE!</v>
      </c>
      <c r="X943" s="317" t="s">
        <v>2284</v>
      </c>
    </row>
    <row r="944" spans="3:25" ht="18.75" hidden="1" x14ac:dyDescent="0.3">
      <c r="C944" s="322"/>
      <c r="D944" s="9"/>
      <c r="E944" s="9"/>
      <c r="F944" s="21" t="s">
        <v>62</v>
      </c>
      <c r="G944" s="20" t="s">
        <v>991</v>
      </c>
      <c r="H944" s="377" t="s">
        <v>1447</v>
      </c>
      <c r="I944" s="377"/>
      <c r="J944" s="377" t="s">
        <v>1448</v>
      </c>
      <c r="K944" s="377"/>
      <c r="L944" s="1"/>
      <c r="M944" s="2"/>
      <c r="N944" s="19">
        <v>30</v>
      </c>
      <c r="O944" s="22" t="str">
        <f t="shared" si="48"/>
        <v/>
      </c>
      <c r="P944" s="19" t="s">
        <v>1449</v>
      </c>
      <c r="Q944" s="375" t="s">
        <v>66</v>
      </c>
      <c r="R944" s="375"/>
      <c r="S944" s="375"/>
      <c r="T944" s="93"/>
      <c r="U944" s="11"/>
      <c r="V944" s="320">
        <v>0</v>
      </c>
      <c r="W944" s="372" t="str">
        <f>IF(OR(G944="Collectors",G944="Special Pricing",G944="Boutique",G944="leafjoy littles",G944="Premium"),
    IF(V944&gt;0,"Show","Hide"),
    IF(V944 &gt;= _xlfn.XLOOKUP(F944,'Min table'!C$3:C$5,),"Show","Hide")
)</f>
        <v>Hide</v>
      </c>
      <c r="X944" s="317" t="s">
        <v>2642</v>
      </c>
      <c r="Y944" s="317" t="s">
        <v>1835</v>
      </c>
    </row>
    <row r="945" spans="3:25" ht="18.75" hidden="1" x14ac:dyDescent="0.3">
      <c r="C945" s="322"/>
      <c r="D945" s="9"/>
      <c r="E945" s="9"/>
      <c r="F945" s="21" t="s">
        <v>62</v>
      </c>
      <c r="G945" s="20" t="s">
        <v>945</v>
      </c>
      <c r="H945" s="377" t="s">
        <v>1450</v>
      </c>
      <c r="I945" s="377"/>
      <c r="J945" s="377" t="s">
        <v>1451</v>
      </c>
      <c r="K945" s="377"/>
      <c r="L945" s="1"/>
      <c r="M945" s="2"/>
      <c r="N945" s="19">
        <v>13</v>
      </c>
      <c r="O945" s="22" t="str">
        <f t="shared" si="48"/>
        <v/>
      </c>
      <c r="P945" s="19" t="s">
        <v>1449</v>
      </c>
      <c r="Q945" s="375" t="s">
        <v>566</v>
      </c>
      <c r="R945" s="375"/>
      <c r="S945" s="375"/>
      <c r="T945" s="93"/>
      <c r="U945" s="11"/>
      <c r="V945" s="320">
        <v>0</v>
      </c>
      <c r="W945" s="372" t="str">
        <f>IF(OR(G945="Collectors",G945="Special Pricing",G945="Boutique",G945="leafjoy littles",G945="Premium"),
    IF(V945&gt;0,"Show","Hide"),
    IF(V945 &gt;= _xlfn.XLOOKUP(F945,'Min table'!C$3:C$5,),"Show","Hide")
)</f>
        <v>Hide</v>
      </c>
      <c r="X945" s="317" t="s">
        <v>2643</v>
      </c>
      <c r="Y945" s="317" t="s">
        <v>1452</v>
      </c>
    </row>
    <row r="946" spans="3:25" ht="18.75" hidden="1" x14ac:dyDescent="0.3">
      <c r="C946" s="322"/>
      <c r="D946" s="9"/>
      <c r="E946" s="9"/>
      <c r="F946" s="21" t="s">
        <v>62</v>
      </c>
      <c r="G946" s="20" t="s">
        <v>945</v>
      </c>
      <c r="H946" s="377" t="s">
        <v>2602</v>
      </c>
      <c r="I946" s="377"/>
      <c r="J946" s="377"/>
      <c r="K946" s="377"/>
      <c r="L946" s="1"/>
      <c r="M946" s="2"/>
      <c r="N946" s="19">
        <v>13</v>
      </c>
      <c r="O946" s="22"/>
      <c r="P946" s="21" t="s">
        <v>600</v>
      </c>
      <c r="Q946" s="375" t="s">
        <v>566</v>
      </c>
      <c r="R946" s="375"/>
      <c r="S946" s="375"/>
      <c r="T946" s="93"/>
      <c r="U946" s="11"/>
      <c r="V946" s="320">
        <v>9</v>
      </c>
      <c r="W946" s="372" t="str">
        <f>IF(OR(G946="Collectors",G946="Special Pricing",G946="Boutique",G946="leafjoy littles",G946="Premium"),
    IF(V946&gt;0,"Show","Hide"),
    IF(V946 &gt;= _xlfn.XLOOKUP(F946,'Min table'!C$3:C$5,),"Show","Hide")
)</f>
        <v>Show</v>
      </c>
      <c r="X946" s="317" t="s">
        <v>2644</v>
      </c>
    </row>
    <row r="947" spans="3:25" ht="18.75" x14ac:dyDescent="0.3">
      <c r="C947" s="322"/>
      <c r="D947" s="9"/>
      <c r="E947" s="9"/>
      <c r="F947" s="21" t="s">
        <v>62</v>
      </c>
      <c r="G947" s="20" t="s">
        <v>942</v>
      </c>
      <c r="H947" s="376" t="s">
        <v>2805</v>
      </c>
      <c r="I947" s="376"/>
      <c r="J947" s="376"/>
      <c r="K947" s="376"/>
      <c r="L947" s="1"/>
      <c r="M947" s="2"/>
      <c r="N947" s="19">
        <v>17</v>
      </c>
      <c r="O947" s="22" t="str">
        <f t="shared" si="48"/>
        <v/>
      </c>
      <c r="P947" s="21" t="s">
        <v>600</v>
      </c>
      <c r="Q947" s="375" t="s">
        <v>655</v>
      </c>
      <c r="R947" s="375"/>
      <c r="S947" s="375"/>
      <c r="T947" s="93"/>
      <c r="U947" s="11"/>
      <c r="V947" s="320">
        <v>14</v>
      </c>
      <c r="W947" s="372" t="str">
        <f>IF(OR(G947="Collectors",G947="Special Pricing",G947="Boutique",G947="leafjoy littles",G947="Premium"),
    IF(V947&gt;0,"Show","Hide"),
    IF(V947 &gt;= _xlfn.XLOOKUP(F947,'Min table'!C$3:C$5,),"Show","Hide")
)</f>
        <v>Show</v>
      </c>
      <c r="X947" s="317" t="s">
        <v>2645</v>
      </c>
    </row>
    <row r="948" spans="3:25" ht="18.75" hidden="1" x14ac:dyDescent="0.3">
      <c r="C948" s="322"/>
      <c r="D948" s="9"/>
      <c r="E948" s="9"/>
      <c r="F948" s="21" t="s">
        <v>62</v>
      </c>
      <c r="G948" s="20" t="s">
        <v>945</v>
      </c>
      <c r="H948" s="516" t="s">
        <v>2788</v>
      </c>
      <c r="I948" s="414"/>
      <c r="J948" s="414" t="s">
        <v>1473</v>
      </c>
      <c r="K948" s="414"/>
      <c r="L948" s="1"/>
      <c r="M948" s="2"/>
      <c r="N948" s="19">
        <v>13</v>
      </c>
      <c r="O948" s="22"/>
      <c r="P948" s="19" t="s">
        <v>1862</v>
      </c>
      <c r="Q948" s="375" t="s">
        <v>566</v>
      </c>
      <c r="R948" s="375"/>
      <c r="S948" s="375"/>
      <c r="T948" s="93"/>
      <c r="U948" s="11"/>
      <c r="V948" s="320">
        <v>0</v>
      </c>
      <c r="W948" s="332" t="str">
        <f>IF(V948 &gt;= _xlfn.XLOOKUP(F948,'Min table'!A$3:A$5,'Min table'!B$3:B$5), "Show", "Hide")</f>
        <v>Hide</v>
      </c>
    </row>
    <row r="949" spans="3:25" ht="18.75" hidden="1" x14ac:dyDescent="0.3">
      <c r="C949" s="322"/>
      <c r="D949" s="9"/>
      <c r="E949" s="9"/>
      <c r="F949" s="21" t="s">
        <v>62</v>
      </c>
      <c r="G949" s="20" t="s">
        <v>945</v>
      </c>
      <c r="H949" s="414" t="s">
        <v>1054</v>
      </c>
      <c r="I949" s="414"/>
      <c r="J949" s="414">
        <v>0</v>
      </c>
      <c r="K949" s="414"/>
      <c r="L949" s="1"/>
      <c r="M949" s="2"/>
      <c r="N949" s="19">
        <v>13</v>
      </c>
      <c r="O949" s="22"/>
      <c r="P949" s="19" t="s">
        <v>1453</v>
      </c>
      <c r="Q949" s="375" t="s">
        <v>566</v>
      </c>
      <c r="R949" s="375"/>
      <c r="S949" s="375"/>
      <c r="T949" s="93"/>
      <c r="U949" s="11"/>
      <c r="V949" s="320">
        <v>0</v>
      </c>
      <c r="W949" s="332" t="str">
        <f>IF(V949 &gt;= _xlfn.XLOOKUP(F949,'Min table'!A$3:A$5,'Min table'!B$3:B$5), "Show", "Hide")</f>
        <v>Hide</v>
      </c>
      <c r="X949" s="317" t="s">
        <v>2646</v>
      </c>
      <c r="Y949" s="317" t="s">
        <v>1454</v>
      </c>
    </row>
    <row r="950" spans="3:25" ht="18.75" hidden="1" x14ac:dyDescent="0.3">
      <c r="C950" s="322"/>
      <c r="D950" s="9"/>
      <c r="E950" s="9"/>
      <c r="F950" s="21" t="s">
        <v>62</v>
      </c>
      <c r="G950" s="20" t="s">
        <v>945</v>
      </c>
      <c r="H950" s="516" t="s">
        <v>2789</v>
      </c>
      <c r="I950" s="414"/>
      <c r="J950" s="414" t="s">
        <v>1473</v>
      </c>
      <c r="K950" s="414"/>
      <c r="L950" s="1"/>
      <c r="M950" s="2"/>
      <c r="N950" s="19">
        <v>13</v>
      </c>
      <c r="O950" s="22"/>
      <c r="P950" s="19" t="s">
        <v>1862</v>
      </c>
      <c r="Q950" s="375" t="s">
        <v>566</v>
      </c>
      <c r="R950" s="375"/>
      <c r="S950" s="375"/>
      <c r="T950" s="93"/>
      <c r="U950" s="11"/>
      <c r="V950" s="320">
        <v>0</v>
      </c>
      <c r="W950" s="332" t="str">
        <f>IF(V950 &gt;= _xlfn.XLOOKUP(F950,'Min table'!A$3:A$5,'Min table'!B$3:B$5), "Show", "Hide")</f>
        <v>Hide</v>
      </c>
    </row>
    <row r="951" spans="3:25" ht="18.75" hidden="1" x14ac:dyDescent="0.3">
      <c r="C951" s="322"/>
      <c r="D951" s="9"/>
      <c r="E951" s="9"/>
      <c r="F951" s="21" t="s">
        <v>62</v>
      </c>
      <c r="G951" s="20" t="s">
        <v>942</v>
      </c>
      <c r="H951" s="377" t="s">
        <v>1455</v>
      </c>
      <c r="I951" s="377"/>
      <c r="J951" s="377" t="s">
        <v>1456</v>
      </c>
      <c r="K951" s="377"/>
      <c r="L951" s="1"/>
      <c r="M951" s="2"/>
      <c r="N951" s="19">
        <v>17</v>
      </c>
      <c r="O951" s="22"/>
      <c r="P951" s="19" t="s">
        <v>245</v>
      </c>
      <c r="Q951" s="375" t="s">
        <v>655</v>
      </c>
      <c r="R951" s="375"/>
      <c r="S951" s="375"/>
      <c r="T951" s="93"/>
      <c r="U951" s="11"/>
      <c r="V951" s="320">
        <v>3</v>
      </c>
      <c r="W951" s="332" t="str">
        <f>IF(V951 &gt;= _xlfn.XLOOKUP(F951,'Min table'!A$3:A$5,'Min table'!B$3:B$5), "Show", "Hide")</f>
        <v>Hide</v>
      </c>
      <c r="X951" s="317" t="s">
        <v>2647</v>
      </c>
      <c r="Y951" s="317" t="s">
        <v>1457</v>
      </c>
    </row>
    <row r="952" spans="3:25" ht="18.75" hidden="1" x14ac:dyDescent="0.3">
      <c r="C952" s="322"/>
      <c r="D952" s="9"/>
      <c r="E952" s="9"/>
      <c r="F952" s="21" t="s">
        <v>62</v>
      </c>
      <c r="G952" s="20" t="s">
        <v>942</v>
      </c>
      <c r="H952" s="377" t="s">
        <v>1458</v>
      </c>
      <c r="I952" s="377"/>
      <c r="J952" s="377" t="s">
        <v>1459</v>
      </c>
      <c r="K952" s="377"/>
      <c r="L952" s="1"/>
      <c r="M952" s="2"/>
      <c r="N952" s="19">
        <v>17</v>
      </c>
      <c r="O952" s="22"/>
      <c r="P952" s="21" t="s">
        <v>600</v>
      </c>
      <c r="Q952" s="375" t="s">
        <v>655</v>
      </c>
      <c r="R952" s="375"/>
      <c r="S952" s="375"/>
      <c r="T952" s="93"/>
      <c r="U952" s="11"/>
      <c r="V952" s="320">
        <v>0</v>
      </c>
      <c r="W952" s="332" t="str">
        <f>IF(V952 &gt;= _xlfn.XLOOKUP(F952,'Min table'!A$3:A$5,'Min table'!B$3:B$5), "Show", "Hide")</f>
        <v>Hide</v>
      </c>
      <c r="X952" s="317" t="s">
        <v>2648</v>
      </c>
      <c r="Y952" s="317" t="s">
        <v>1836</v>
      </c>
    </row>
    <row r="953" spans="3:25" ht="18.75" hidden="1" x14ac:dyDescent="0.3">
      <c r="C953" s="322"/>
      <c r="D953" s="9"/>
      <c r="E953" s="9"/>
      <c r="F953" s="21" t="s">
        <v>62</v>
      </c>
      <c r="G953" s="20" t="s">
        <v>945</v>
      </c>
      <c r="H953" s="377" t="s">
        <v>1460</v>
      </c>
      <c r="I953" s="377"/>
      <c r="J953" s="377" t="s">
        <v>1461</v>
      </c>
      <c r="K953" s="377"/>
      <c r="L953" s="1"/>
      <c r="M953" s="2"/>
      <c r="N953" s="19">
        <v>13</v>
      </c>
      <c r="O953" s="22"/>
      <c r="P953" s="21" t="s">
        <v>600</v>
      </c>
      <c r="Q953" s="375" t="s">
        <v>566</v>
      </c>
      <c r="R953" s="375"/>
      <c r="S953" s="375"/>
      <c r="T953" s="93"/>
      <c r="U953" s="11"/>
      <c r="V953" s="320">
        <v>3</v>
      </c>
      <c r="W953" s="332" t="str">
        <f>IF(V953 &gt;= _xlfn.XLOOKUP(F953,'Min table'!A$3:A$5,'Min table'!B$3:B$5), "Show", "Hide")</f>
        <v>Hide</v>
      </c>
      <c r="X953" s="317" t="s">
        <v>2649</v>
      </c>
      <c r="Y953" s="317" t="s">
        <v>1462</v>
      </c>
    </row>
    <row r="954" spans="3:25" ht="18.75" hidden="1" x14ac:dyDescent="0.3">
      <c r="C954" s="322"/>
      <c r="D954" s="9"/>
      <c r="E954" s="9"/>
      <c r="F954" s="21" t="s">
        <v>62</v>
      </c>
      <c r="G954" s="20" t="s">
        <v>945</v>
      </c>
      <c r="H954" s="377" t="s">
        <v>1725</v>
      </c>
      <c r="I954" s="377"/>
      <c r="J954" s="377"/>
      <c r="K954" s="377"/>
      <c r="L954" s="1"/>
      <c r="M954" s="2"/>
      <c r="N954" s="19">
        <v>13</v>
      </c>
      <c r="O954" s="22"/>
      <c r="P954" s="19" t="s">
        <v>1862</v>
      </c>
      <c r="Q954" s="375" t="s">
        <v>566</v>
      </c>
      <c r="R954" s="375"/>
      <c r="S954" s="375"/>
      <c r="T954" s="93"/>
      <c r="U954" s="11"/>
      <c r="V954" s="320">
        <v>4</v>
      </c>
      <c r="W954" s="332" t="str">
        <f>IF(V954 &gt;= _xlfn.XLOOKUP(F954,'Min table'!A$3:A$5,'Min table'!B$3:B$5), "Show", "Hide")</f>
        <v>Hide</v>
      </c>
      <c r="X954" s="317" t="s">
        <v>2650</v>
      </c>
      <c r="Y954" s="317" t="s">
        <v>1837</v>
      </c>
    </row>
    <row r="955" spans="3:25" ht="18.75" hidden="1" x14ac:dyDescent="0.3">
      <c r="C955" s="322"/>
      <c r="D955" s="9"/>
      <c r="E955" s="9"/>
      <c r="F955" s="21" t="s">
        <v>62</v>
      </c>
      <c r="G955" s="20" t="s">
        <v>945</v>
      </c>
      <c r="H955" s="377" t="s">
        <v>1463</v>
      </c>
      <c r="I955" s="377"/>
      <c r="J955" s="377" t="s">
        <v>1464</v>
      </c>
      <c r="K955" s="377"/>
      <c r="L955" s="1"/>
      <c r="M955" s="2"/>
      <c r="N955" s="19">
        <v>13</v>
      </c>
      <c r="O955" s="22"/>
      <c r="P955" s="21" t="s">
        <v>600</v>
      </c>
      <c r="Q955" s="375" t="s">
        <v>566</v>
      </c>
      <c r="R955" s="375"/>
      <c r="S955" s="375"/>
      <c r="T955" s="93"/>
      <c r="U955" s="11"/>
      <c r="V955" s="320">
        <v>11</v>
      </c>
      <c r="W955" s="332" t="str">
        <f>IF(V955 &gt;= _xlfn.XLOOKUP(F955,'Min table'!A$3:A$5,'Min table'!B$3:B$5), "Show", "Hide")</f>
        <v>Hide</v>
      </c>
      <c r="X955" s="342" t="s">
        <v>2651</v>
      </c>
      <c r="Y955" s="317" t="s">
        <v>1465</v>
      </c>
    </row>
    <row r="956" spans="3:25" ht="18.75" hidden="1" x14ac:dyDescent="0.3">
      <c r="C956" s="322"/>
      <c r="D956" s="9"/>
      <c r="E956" s="9"/>
      <c r="F956" s="21" t="s">
        <v>62</v>
      </c>
      <c r="G956" s="20" t="s">
        <v>945</v>
      </c>
      <c r="H956" s="377" t="s">
        <v>1466</v>
      </c>
      <c r="I956" s="377"/>
      <c r="J956" s="377" t="s">
        <v>1467</v>
      </c>
      <c r="K956" s="377"/>
      <c r="L956" s="1"/>
      <c r="M956" s="2"/>
      <c r="N956" s="19">
        <v>13</v>
      </c>
      <c r="O956" s="22"/>
      <c r="P956" s="19" t="s">
        <v>600</v>
      </c>
      <c r="Q956" s="375" t="s">
        <v>566</v>
      </c>
      <c r="R956" s="375"/>
      <c r="S956" s="375"/>
      <c r="T956" s="93"/>
      <c r="U956" s="11"/>
      <c r="V956" s="320">
        <v>8</v>
      </c>
      <c r="W956" s="332" t="str">
        <f>IF(V956 &gt;= _xlfn.XLOOKUP(F956,'Min table'!A$3:A$5,'Min table'!B$3:B$5), "Show", "Hide")</f>
        <v>Hide</v>
      </c>
      <c r="X956" s="317" t="s">
        <v>2652</v>
      </c>
      <c r="Y956" s="317" t="s">
        <v>1468</v>
      </c>
    </row>
    <row r="957" spans="3:25" ht="18.75" hidden="1" x14ac:dyDescent="0.3">
      <c r="C957" s="322"/>
      <c r="D957" s="9"/>
      <c r="E957" s="9"/>
      <c r="F957" s="21" t="s">
        <v>62</v>
      </c>
      <c r="G957" s="20" t="s">
        <v>945</v>
      </c>
      <c r="H957" s="377" t="s">
        <v>1469</v>
      </c>
      <c r="I957" s="377"/>
      <c r="J957" s="377" t="s">
        <v>1470</v>
      </c>
      <c r="K957" s="377"/>
      <c r="L957" s="1"/>
      <c r="M957" s="2"/>
      <c r="N957" s="19">
        <v>13</v>
      </c>
      <c r="O957" s="22"/>
      <c r="P957" s="19" t="s">
        <v>600</v>
      </c>
      <c r="Q957" s="375" t="s">
        <v>566</v>
      </c>
      <c r="R957" s="375"/>
      <c r="S957" s="375"/>
      <c r="T957" s="93"/>
      <c r="U957" s="11"/>
      <c r="V957" s="320">
        <v>0</v>
      </c>
      <c r="W957" s="332" t="str">
        <f>IF(V957 &gt;= _xlfn.XLOOKUP(F957,'Min table'!A$3:A$5,'Min table'!B$3:B$5), "Show", "Hide")</f>
        <v>Hide</v>
      </c>
      <c r="X957" s="317" t="s">
        <v>2653</v>
      </c>
      <c r="Y957" s="317" t="s">
        <v>1471</v>
      </c>
    </row>
    <row r="958" spans="3:25" ht="18.75" hidden="1" x14ac:dyDescent="0.3">
      <c r="C958" s="322"/>
      <c r="D958" s="9"/>
      <c r="E958" s="9"/>
      <c r="F958" s="21" t="s">
        <v>62</v>
      </c>
      <c r="G958" s="20" t="s">
        <v>945</v>
      </c>
      <c r="H958" s="377" t="s">
        <v>1472</v>
      </c>
      <c r="I958" s="377"/>
      <c r="J958" s="377" t="s">
        <v>1473</v>
      </c>
      <c r="K958" s="377"/>
      <c r="L958" s="1"/>
      <c r="M958" s="2"/>
      <c r="N958" s="19">
        <v>13</v>
      </c>
      <c r="O958" s="22"/>
      <c r="P958" s="19" t="s">
        <v>600</v>
      </c>
      <c r="Q958" s="375" t="s">
        <v>566</v>
      </c>
      <c r="R958" s="375"/>
      <c r="S958" s="375"/>
      <c r="T958" s="93"/>
      <c r="U958" s="11"/>
      <c r="V958" s="320">
        <v>0</v>
      </c>
      <c r="W958" s="332" t="str">
        <f>IF(V958 &gt;= _xlfn.XLOOKUP(F958,'Min table'!A$3:A$5,'Min table'!B$3:B$5), "Show", "Hide")</f>
        <v>Hide</v>
      </c>
      <c r="X958" s="317" t="s">
        <v>2654</v>
      </c>
      <c r="Y958" s="317" t="s">
        <v>1474</v>
      </c>
    </row>
    <row r="959" spans="3:25" ht="18.75" hidden="1" x14ac:dyDescent="0.3">
      <c r="C959" s="322"/>
      <c r="D959" s="9"/>
      <c r="E959" s="9"/>
      <c r="F959" s="21" t="s">
        <v>62</v>
      </c>
      <c r="G959" s="20" t="s">
        <v>945</v>
      </c>
      <c r="H959" s="517" t="s">
        <v>2579</v>
      </c>
      <c r="I959" s="377"/>
      <c r="J959" s="377" t="s">
        <v>1473</v>
      </c>
      <c r="K959" s="377"/>
      <c r="L959" s="1"/>
      <c r="M959" s="2"/>
      <c r="N959" s="19">
        <v>13</v>
      </c>
      <c r="O959" s="22" t="str">
        <f t="shared" si="48"/>
        <v/>
      </c>
      <c r="P959" s="19" t="s">
        <v>1862</v>
      </c>
      <c r="Q959" s="375" t="s">
        <v>566</v>
      </c>
      <c r="R959" s="375"/>
      <c r="S959" s="375"/>
      <c r="T959" s="93"/>
      <c r="U959" s="11"/>
      <c r="V959" s="320">
        <v>0</v>
      </c>
      <c r="W959" s="332" t="str">
        <f>IF(V959 &gt;= _xlfn.XLOOKUP(F959,'Min table'!A$3:A$5,'Min table'!B$3:B$5), "Show", "Hide")</f>
        <v>Hide</v>
      </c>
      <c r="X959" s="317" t="s">
        <v>2655</v>
      </c>
    </row>
    <row r="960" spans="3:25" ht="18.75" hidden="1" x14ac:dyDescent="0.3">
      <c r="C960" s="322"/>
      <c r="D960" s="9"/>
      <c r="E960" s="9"/>
      <c r="F960" s="21" t="s">
        <v>62</v>
      </c>
      <c r="G960" s="20" t="s">
        <v>945</v>
      </c>
      <c r="H960" s="516" t="s">
        <v>2786</v>
      </c>
      <c r="I960" s="414"/>
      <c r="J960" s="414" t="s">
        <v>1473</v>
      </c>
      <c r="K960" s="414"/>
      <c r="L960" s="1"/>
      <c r="M960" s="2"/>
      <c r="N960" s="19">
        <v>13</v>
      </c>
      <c r="O960" s="22" t="str">
        <f t="shared" ref="O960:O961" si="50">IF(AND(L960="",M960=""),"",(L960*N960)+(M960*(N960+3.47)))</f>
        <v/>
      </c>
      <c r="P960" s="19" t="s">
        <v>565</v>
      </c>
      <c r="Q960" s="375" t="s">
        <v>566</v>
      </c>
      <c r="R960" s="375"/>
      <c r="S960" s="375"/>
      <c r="T960" s="93"/>
      <c r="U960" s="11"/>
      <c r="V960" s="320">
        <v>0</v>
      </c>
      <c r="W960" s="332" t="str">
        <f>IF(V960 &gt;= _xlfn.XLOOKUP(F960,'Min table'!A$3:A$5,'Min table'!B$3:B$5), "Show", "Hide")</f>
        <v>Hide</v>
      </c>
    </row>
    <row r="961" spans="3:25" ht="18.75" hidden="1" x14ac:dyDescent="0.3">
      <c r="C961" s="322"/>
      <c r="D961" s="9"/>
      <c r="E961" s="9"/>
      <c r="F961" s="21" t="s">
        <v>62</v>
      </c>
      <c r="G961" s="20" t="s">
        <v>1853</v>
      </c>
      <c r="H961" s="516" t="s">
        <v>2778</v>
      </c>
      <c r="I961" s="414"/>
      <c r="J961" s="414"/>
      <c r="K961" s="414"/>
      <c r="L961" s="1"/>
      <c r="M961" s="2"/>
      <c r="N961" s="19">
        <v>18.149999999999999</v>
      </c>
      <c r="O961" s="22" t="str">
        <f t="shared" si="50"/>
        <v/>
      </c>
      <c r="P961" s="19" t="s">
        <v>1862</v>
      </c>
      <c r="Q961" s="375" t="s">
        <v>655</v>
      </c>
      <c r="R961" s="375"/>
      <c r="S961" s="375"/>
      <c r="T961" s="93"/>
      <c r="U961" s="11"/>
      <c r="V961" s="320">
        <v>0</v>
      </c>
      <c r="W961" s="332" t="str">
        <f>IF(V961 &gt;= _xlfn.XLOOKUP(F961,'Min table'!A$3:A$5,'Min table'!B$3:B$5), "Show", "Hide")</f>
        <v>Hide</v>
      </c>
    </row>
    <row r="962" spans="3:25" ht="18.75" hidden="1" x14ac:dyDescent="0.3">
      <c r="C962" s="322"/>
      <c r="D962" s="9"/>
      <c r="E962" s="9"/>
      <c r="F962" s="21" t="s">
        <v>62</v>
      </c>
      <c r="G962" s="20" t="s">
        <v>945</v>
      </c>
      <c r="H962" s="377" t="s">
        <v>1475</v>
      </c>
      <c r="I962" s="377"/>
      <c r="J962" s="377" t="s">
        <v>1476</v>
      </c>
      <c r="K962" s="377"/>
      <c r="L962" s="1"/>
      <c r="M962" s="2"/>
      <c r="N962" s="19">
        <v>13</v>
      </c>
      <c r="O962" s="22" t="str">
        <f t="shared" si="48"/>
        <v/>
      </c>
      <c r="P962" s="19" t="s">
        <v>612</v>
      </c>
      <c r="Q962" s="375" t="s">
        <v>566</v>
      </c>
      <c r="R962" s="375"/>
      <c r="S962" s="375"/>
      <c r="T962" s="93"/>
      <c r="U962" s="11"/>
      <c r="V962" s="320">
        <v>0</v>
      </c>
      <c r="W962" s="332" t="str">
        <f>IF(V962 &gt;= _xlfn.XLOOKUP(F962,'Min table'!A$3:A$5,'Min table'!B$3:B$5), "Show", "Hide")</f>
        <v>Hide</v>
      </c>
      <c r="X962" s="317" t="s">
        <v>2656</v>
      </c>
      <c r="Y962" s="317" t="s">
        <v>1477</v>
      </c>
    </row>
    <row r="963" spans="3:25" ht="18.75" hidden="1" x14ac:dyDescent="0.3">
      <c r="C963" s="322"/>
      <c r="D963" s="9"/>
      <c r="E963" s="9"/>
      <c r="F963" s="21" t="s">
        <v>62</v>
      </c>
      <c r="G963" s="20" t="s">
        <v>945</v>
      </c>
      <c r="H963" s="399" t="s">
        <v>1716</v>
      </c>
      <c r="I963" s="399" t="s">
        <v>1716</v>
      </c>
      <c r="J963" s="399"/>
      <c r="K963" s="399"/>
      <c r="L963" s="1"/>
      <c r="M963" s="2"/>
      <c r="N963" s="19">
        <v>13</v>
      </c>
      <c r="O963" s="22" t="str">
        <f t="shared" si="48"/>
        <v/>
      </c>
      <c r="P963" s="19" t="s">
        <v>1862</v>
      </c>
      <c r="Q963" s="375" t="s">
        <v>566</v>
      </c>
      <c r="R963" s="375"/>
      <c r="S963" s="375"/>
      <c r="T963" s="93"/>
      <c r="U963" s="11"/>
      <c r="V963" s="320">
        <v>0</v>
      </c>
      <c r="W963" s="332" t="str">
        <f>IF(V963 &gt;= _xlfn.XLOOKUP(F963,'Min table'!A$3:A$5,'Min table'!B$3:B$5), "Show", "Hide")</f>
        <v>Hide</v>
      </c>
      <c r="X963" s="317" t="s">
        <v>2657</v>
      </c>
      <c r="Y963" s="317" t="s">
        <v>1838</v>
      </c>
    </row>
    <row r="964" spans="3:25" ht="18.75" hidden="1" x14ac:dyDescent="0.3">
      <c r="C964" s="322"/>
      <c r="D964" s="9"/>
      <c r="E964" s="9"/>
      <c r="F964" s="21" t="s">
        <v>62</v>
      </c>
      <c r="G964" s="20" t="s">
        <v>945</v>
      </c>
      <c r="H964" s="399" t="s">
        <v>1715</v>
      </c>
      <c r="I964" s="399"/>
      <c r="J964" s="399"/>
      <c r="K964" s="399"/>
      <c r="L964" s="1"/>
      <c r="M964" s="2"/>
      <c r="N964" s="19">
        <v>13</v>
      </c>
      <c r="O964" s="22" t="str">
        <f t="shared" si="48"/>
        <v/>
      </c>
      <c r="P964" s="19" t="s">
        <v>1862</v>
      </c>
      <c r="Q964" s="375" t="s">
        <v>566</v>
      </c>
      <c r="R964" s="375"/>
      <c r="S964" s="375"/>
      <c r="T964" s="93"/>
      <c r="U964" s="11"/>
      <c r="V964" s="320">
        <v>0</v>
      </c>
      <c r="W964" s="332" t="str">
        <f>IF(V964 &gt;= _xlfn.XLOOKUP(F964,'Min table'!A$3:A$5,'Min table'!B$3:B$5), "Show", "Hide")</f>
        <v>Hide</v>
      </c>
      <c r="X964" s="317" t="s">
        <v>2658</v>
      </c>
      <c r="Y964" s="317" t="s">
        <v>1839</v>
      </c>
    </row>
    <row r="965" spans="3:25" ht="18.75" hidden="1" x14ac:dyDescent="0.3">
      <c r="C965" s="322"/>
      <c r="D965" s="9"/>
      <c r="E965" s="9"/>
      <c r="F965" s="21" t="s">
        <v>62</v>
      </c>
      <c r="G965" s="20" t="s">
        <v>945</v>
      </c>
      <c r="H965" s="377" t="s">
        <v>1134</v>
      </c>
      <c r="I965" s="377"/>
      <c r="J965" s="377" t="s">
        <v>1478</v>
      </c>
      <c r="K965" s="377"/>
      <c r="L965" s="1"/>
      <c r="M965" s="2"/>
      <c r="N965" s="19">
        <v>13</v>
      </c>
      <c r="O965" s="22" t="str">
        <f t="shared" si="48"/>
        <v/>
      </c>
      <c r="P965" s="19" t="s">
        <v>1479</v>
      </c>
      <c r="Q965" s="375" t="s">
        <v>566</v>
      </c>
      <c r="R965" s="375"/>
      <c r="S965" s="375"/>
      <c r="T965" s="93"/>
      <c r="U965" s="11"/>
      <c r="V965" s="320">
        <v>0</v>
      </c>
      <c r="W965" s="332" t="str">
        <f>IF(V965 &gt;= _xlfn.XLOOKUP(F965,'Min table'!A$3:A$5,'Min table'!B$3:B$5), "Show", "Hide")</f>
        <v>Hide</v>
      </c>
      <c r="X965" s="317" t="s">
        <v>2659</v>
      </c>
      <c r="Y965" s="317" t="s">
        <v>1480</v>
      </c>
    </row>
    <row r="966" spans="3:25" ht="18.75" hidden="1" x14ac:dyDescent="0.3">
      <c r="C966" s="322"/>
      <c r="D966" s="9"/>
      <c r="E966" s="9"/>
      <c r="F966" s="21" t="s">
        <v>62</v>
      </c>
      <c r="G966" s="20" t="s">
        <v>945</v>
      </c>
      <c r="H966" s="377" t="s">
        <v>1481</v>
      </c>
      <c r="I966" s="377"/>
      <c r="J966" s="377" t="s">
        <v>1482</v>
      </c>
      <c r="K966" s="377"/>
      <c r="L966" s="1"/>
      <c r="M966" s="2"/>
      <c r="N966" s="19">
        <v>13</v>
      </c>
      <c r="O966" s="22" t="str">
        <f t="shared" si="48"/>
        <v/>
      </c>
      <c r="P966" s="19" t="s">
        <v>245</v>
      </c>
      <c r="Q966" s="375" t="s">
        <v>566</v>
      </c>
      <c r="R966" s="375"/>
      <c r="S966" s="375"/>
      <c r="T966" s="93"/>
      <c r="U966" s="11"/>
      <c r="V966" s="320">
        <v>0</v>
      </c>
      <c r="W966" s="332" t="str">
        <f>IF(V966 &gt;= _xlfn.XLOOKUP(F966,'Min table'!A$3:A$5,'Min table'!B$3:B$5), "Show", "Hide")</f>
        <v>Hide</v>
      </c>
      <c r="X966" s="317" t="s">
        <v>2660</v>
      </c>
      <c r="Y966" s="317" t="s">
        <v>1483</v>
      </c>
    </row>
    <row r="967" spans="3:25" ht="18.75" x14ac:dyDescent="0.3">
      <c r="C967" s="322"/>
      <c r="D967" s="9"/>
      <c r="E967" s="9"/>
      <c r="F967" s="21" t="s">
        <v>62</v>
      </c>
      <c r="G967" s="20" t="s">
        <v>945</v>
      </c>
      <c r="H967" s="377" t="s">
        <v>1866</v>
      </c>
      <c r="I967" s="377"/>
      <c r="J967" s="377"/>
      <c r="K967" s="377"/>
      <c r="L967" s="1"/>
      <c r="M967" s="2"/>
      <c r="N967" s="19">
        <v>13</v>
      </c>
      <c r="O967" s="22" t="str">
        <f t="shared" si="48"/>
        <v/>
      </c>
      <c r="P967" s="19" t="s">
        <v>612</v>
      </c>
      <c r="Q967" s="375" t="s">
        <v>566</v>
      </c>
      <c r="R967" s="375"/>
      <c r="S967" s="375"/>
      <c r="T967" s="106"/>
      <c r="U967" s="11"/>
      <c r="V967" s="320">
        <v>108</v>
      </c>
      <c r="W967" s="372" t="str">
        <f>IF(OR(G967="Collectors",G967="Special Pricing",G967="Boutique",G967="leafjoy littles",G967="Premium"),
    IF(V967&gt;0,"Show","Hide"),
    IF(V967 &gt;= _xlfn.XLOOKUP(F967,'Min table'!C$3:C$5,),"Show","Hide")
)</f>
        <v>Show</v>
      </c>
      <c r="X967" s="317" t="s">
        <v>2661</v>
      </c>
      <c r="Y967" s="317" t="s">
        <v>1726</v>
      </c>
    </row>
    <row r="968" spans="3:25" ht="18.75" hidden="1" x14ac:dyDescent="0.3">
      <c r="C968" s="322"/>
      <c r="D968" s="9"/>
      <c r="E968" s="9"/>
      <c r="F968" s="21" t="s">
        <v>62</v>
      </c>
      <c r="G968" s="20" t="s">
        <v>942</v>
      </c>
      <c r="H968" s="377" t="s">
        <v>1484</v>
      </c>
      <c r="I968" s="377"/>
      <c r="J968" s="377" t="s">
        <v>1485</v>
      </c>
      <c r="K968" s="377"/>
      <c r="L968" s="1"/>
      <c r="M968" s="2"/>
      <c r="N968" s="19">
        <v>17</v>
      </c>
      <c r="O968" s="22" t="str">
        <f t="shared" si="48"/>
        <v/>
      </c>
      <c r="P968" s="19" t="s">
        <v>600</v>
      </c>
      <c r="Q968" s="375" t="s">
        <v>655</v>
      </c>
      <c r="R968" s="375"/>
      <c r="S968" s="375"/>
      <c r="T968" s="93"/>
      <c r="U968" s="11"/>
      <c r="V968" s="320">
        <v>0</v>
      </c>
      <c r="W968" s="332" t="str">
        <f>IF(V968 &gt;= _xlfn.XLOOKUP(F968,'Min table'!A$3:A$5,'Min table'!B$3:B$5), "Show", "Hide")</f>
        <v>Hide</v>
      </c>
      <c r="X968" s="317" t="s">
        <v>2662</v>
      </c>
      <c r="Y968" s="317" t="s">
        <v>1486</v>
      </c>
    </row>
    <row r="969" spans="3:25" ht="18.75" hidden="1" x14ac:dyDescent="0.3">
      <c r="C969" s="322"/>
      <c r="D969" s="9"/>
      <c r="E969" s="9"/>
      <c r="F969" s="21" t="s">
        <v>62</v>
      </c>
      <c r="G969" s="20" t="s">
        <v>942</v>
      </c>
      <c r="H969" s="377" t="s">
        <v>1487</v>
      </c>
      <c r="I969" s="377"/>
      <c r="J969" s="377" t="s">
        <v>1488</v>
      </c>
      <c r="K969" s="377"/>
      <c r="L969" s="1"/>
      <c r="M969" s="2"/>
      <c r="N969" s="19">
        <v>17</v>
      </c>
      <c r="O969" s="22" t="str">
        <f t="shared" si="48"/>
        <v/>
      </c>
      <c r="P969" s="19" t="s">
        <v>389</v>
      </c>
      <c r="Q969" s="375" t="s">
        <v>655</v>
      </c>
      <c r="R969" s="375"/>
      <c r="S969" s="375"/>
      <c r="T969" s="93"/>
      <c r="U969" s="11"/>
      <c r="V969" s="320">
        <v>0</v>
      </c>
      <c r="W969" s="332" t="str">
        <f>IF(V969 &gt;= _xlfn.XLOOKUP(F969,'Min table'!A$3:A$5,'Min table'!B$3:B$5), "Show", "Hide")</f>
        <v>Hide</v>
      </c>
      <c r="X969" s="317" t="s">
        <v>2663</v>
      </c>
      <c r="Y969" s="317" t="s">
        <v>1489</v>
      </c>
    </row>
    <row r="970" spans="3:25" ht="18.75" hidden="1" x14ac:dyDescent="0.3">
      <c r="C970" s="322"/>
      <c r="D970" s="9"/>
      <c r="E970" s="9"/>
      <c r="F970" s="21" t="s">
        <v>62</v>
      </c>
      <c r="G970" s="20" t="s">
        <v>942</v>
      </c>
      <c r="H970" s="377" t="s">
        <v>1490</v>
      </c>
      <c r="I970" s="377"/>
      <c r="J970" s="377" t="s">
        <v>1491</v>
      </c>
      <c r="K970" s="377"/>
      <c r="L970" s="1"/>
      <c r="M970" s="2"/>
      <c r="N970" s="19">
        <v>17</v>
      </c>
      <c r="O970" s="22" t="str">
        <f t="shared" si="48"/>
        <v/>
      </c>
      <c r="P970" s="19" t="s">
        <v>600</v>
      </c>
      <c r="Q970" s="375" t="s">
        <v>655</v>
      </c>
      <c r="R970" s="375"/>
      <c r="S970" s="375"/>
      <c r="T970" s="93"/>
      <c r="U970" s="11"/>
      <c r="V970" s="320">
        <v>0</v>
      </c>
      <c r="W970" s="332" t="str">
        <f>IF(V970 &gt;= _xlfn.XLOOKUP(F970,'Min table'!A$3:A$5,'Min table'!B$3:B$5), "Show", "Hide")</f>
        <v>Hide</v>
      </c>
      <c r="X970" s="317" t="s">
        <v>2664</v>
      </c>
      <c r="Y970" s="317" t="s">
        <v>1492</v>
      </c>
    </row>
    <row r="971" spans="3:25" ht="18.75" hidden="1" x14ac:dyDescent="0.3">
      <c r="C971" s="322"/>
      <c r="D971" s="9"/>
      <c r="E971" s="9"/>
      <c r="F971" s="21" t="s">
        <v>62</v>
      </c>
      <c r="G971" s="20" t="s">
        <v>945</v>
      </c>
      <c r="H971" s="377" t="s">
        <v>1143</v>
      </c>
      <c r="I971" s="377"/>
      <c r="J971" s="377" t="s">
        <v>1493</v>
      </c>
      <c r="K971" s="377"/>
      <c r="L971" s="1"/>
      <c r="M971" s="2"/>
      <c r="N971" s="19">
        <v>13</v>
      </c>
      <c r="O971" s="22" t="str">
        <f t="shared" si="48"/>
        <v/>
      </c>
      <c r="P971" s="19" t="s">
        <v>1479</v>
      </c>
      <c r="Q971" s="375" t="s">
        <v>566</v>
      </c>
      <c r="R971" s="375"/>
      <c r="S971" s="375"/>
      <c r="T971" s="93"/>
      <c r="U971" s="11"/>
      <c r="V971" s="320">
        <v>0</v>
      </c>
      <c r="W971" s="332" t="str">
        <f>IF(V971 &gt;= _xlfn.XLOOKUP(F971,'Min table'!A$3:A$5,'Min table'!B$3:B$5), "Show", "Hide")</f>
        <v>Hide</v>
      </c>
      <c r="X971" s="317" t="s">
        <v>2665</v>
      </c>
      <c r="Y971" s="317" t="s">
        <v>1494</v>
      </c>
    </row>
    <row r="972" spans="3:25" ht="18.75" hidden="1" x14ac:dyDescent="0.3">
      <c r="C972" s="322"/>
      <c r="D972" s="9"/>
      <c r="E972" s="9"/>
      <c r="F972" s="21" t="s">
        <v>62</v>
      </c>
      <c r="G972" s="20" t="s">
        <v>945</v>
      </c>
      <c r="H972" s="377" t="s">
        <v>1495</v>
      </c>
      <c r="I972" s="377"/>
      <c r="J972" s="377" t="s">
        <v>1496</v>
      </c>
      <c r="K972" s="377"/>
      <c r="L972" s="1"/>
      <c r="M972" s="2"/>
      <c r="N972" s="19">
        <v>13</v>
      </c>
      <c r="O972" s="22" t="str">
        <f t="shared" si="48"/>
        <v/>
      </c>
      <c r="P972" s="19" t="s">
        <v>389</v>
      </c>
      <c r="Q972" s="375" t="s">
        <v>566</v>
      </c>
      <c r="R972" s="375"/>
      <c r="S972" s="375"/>
      <c r="T972" s="93"/>
      <c r="U972" s="11"/>
      <c r="V972" s="320">
        <v>0</v>
      </c>
      <c r="W972" s="332" t="str">
        <f>IF(V972 &gt;= _xlfn.XLOOKUP(F972,'Min table'!A$3:A$5,'Min table'!B$3:B$5), "Show", "Hide")</f>
        <v>Hide</v>
      </c>
      <c r="X972" s="317" t="s">
        <v>2666</v>
      </c>
      <c r="Y972" s="317" t="s">
        <v>1840</v>
      </c>
    </row>
    <row r="973" spans="3:25" ht="18.75" hidden="1" x14ac:dyDescent="0.3">
      <c r="C973" s="322"/>
      <c r="D973" s="9"/>
      <c r="E973" s="9"/>
      <c r="F973" s="21" t="s">
        <v>62</v>
      </c>
      <c r="G973" s="20" t="s">
        <v>942</v>
      </c>
      <c r="H973" s="377" t="s">
        <v>1497</v>
      </c>
      <c r="I973" s="377"/>
      <c r="J973" s="377" t="s">
        <v>1498</v>
      </c>
      <c r="K973" s="377"/>
      <c r="L973" s="1"/>
      <c r="M973" s="2"/>
      <c r="N973" s="19">
        <v>17</v>
      </c>
      <c r="O973" s="22" t="str">
        <f t="shared" si="48"/>
        <v/>
      </c>
      <c r="P973" s="19" t="s">
        <v>245</v>
      </c>
      <c r="Q973" s="375" t="s">
        <v>655</v>
      </c>
      <c r="R973" s="375"/>
      <c r="S973" s="375"/>
      <c r="T973" s="93"/>
      <c r="U973" s="11"/>
      <c r="V973" s="320">
        <v>0</v>
      </c>
      <c r="W973" s="332" t="str">
        <f>IF(V973 &gt;= _xlfn.XLOOKUP(F973,'Min table'!A$3:A$5,'Min table'!B$3:B$5), "Show", "Hide")</f>
        <v>Hide</v>
      </c>
      <c r="X973" s="317" t="s">
        <v>2667</v>
      </c>
      <c r="Y973" s="317" t="s">
        <v>1499</v>
      </c>
    </row>
    <row r="974" spans="3:25" ht="18.75" hidden="1" x14ac:dyDescent="0.3">
      <c r="C974" s="322"/>
      <c r="D974" s="9"/>
      <c r="E974" s="9"/>
      <c r="F974" s="21" t="s">
        <v>62</v>
      </c>
      <c r="G974" s="20" t="s">
        <v>945</v>
      </c>
      <c r="H974" s="377" t="s">
        <v>1500</v>
      </c>
      <c r="I974" s="377"/>
      <c r="J974" s="377" t="s">
        <v>1478</v>
      </c>
      <c r="K974" s="377"/>
      <c r="L974" s="1"/>
      <c r="M974" s="2"/>
      <c r="N974" s="19">
        <v>13</v>
      </c>
      <c r="O974" s="22" t="str">
        <f t="shared" si="48"/>
        <v/>
      </c>
      <c r="P974" s="19" t="s">
        <v>1501</v>
      </c>
      <c r="Q974" s="375" t="s">
        <v>566</v>
      </c>
      <c r="R974" s="375"/>
      <c r="S974" s="375"/>
      <c r="T974" s="93"/>
      <c r="U974" s="11"/>
      <c r="V974" s="320">
        <v>0</v>
      </c>
      <c r="W974" s="332" t="str">
        <f>IF(V974 &gt;= _xlfn.XLOOKUP(F974,'Min table'!A$3:A$5,'Min table'!B$3:B$5), "Show", "Hide")</f>
        <v>Hide</v>
      </c>
      <c r="X974" s="317" t="s">
        <v>2668</v>
      </c>
      <c r="Y974" s="317" t="s">
        <v>1502</v>
      </c>
    </row>
    <row r="975" spans="3:25" ht="18.75" x14ac:dyDescent="0.3">
      <c r="C975" s="322"/>
      <c r="D975" s="9"/>
      <c r="E975" s="9"/>
      <c r="F975" s="21" t="s">
        <v>62</v>
      </c>
      <c r="G975" s="20" t="s">
        <v>1853</v>
      </c>
      <c r="H975" s="399" t="s">
        <v>2277</v>
      </c>
      <c r="I975" s="399"/>
      <c r="J975" s="399"/>
      <c r="K975" s="399"/>
      <c r="L975" s="1"/>
      <c r="M975" s="2"/>
      <c r="N975" s="19">
        <v>18.149999999999999</v>
      </c>
      <c r="O975" s="22" t="str">
        <f t="shared" si="48"/>
        <v/>
      </c>
      <c r="P975" s="19" t="s">
        <v>1862</v>
      </c>
      <c r="Q975" s="375" t="s">
        <v>655</v>
      </c>
      <c r="R975" s="375"/>
      <c r="S975" s="375"/>
      <c r="T975" s="106"/>
      <c r="U975" s="11"/>
      <c r="V975" s="320">
        <v>92</v>
      </c>
      <c r="W975" s="372" t="e">
        <f>IF(OR(G975="Collectors",G975="Special Pricing",G975="Boutique",G975="leafjoy littles",G975="Premium"),
    IF(V975&gt;0,"Show","Hide"),
    IF(V975 &gt;= _xlfn.XLOOKUP(F975,'Min table'!C$3:C$5,),"Show","Hide")
)</f>
        <v>#VALUE!</v>
      </c>
      <c r="X975" s="317" t="s">
        <v>2669</v>
      </c>
    </row>
    <row r="976" spans="3:25" ht="18.75" hidden="1" x14ac:dyDescent="0.3">
      <c r="C976" s="322"/>
      <c r="D976" s="9"/>
      <c r="E976" s="9"/>
      <c r="F976" s="21" t="s">
        <v>62</v>
      </c>
      <c r="G976" s="20" t="s">
        <v>1728</v>
      </c>
      <c r="H976" s="377" t="s">
        <v>69</v>
      </c>
      <c r="I976" s="377"/>
      <c r="J976" s="377" t="s">
        <v>70</v>
      </c>
      <c r="K976" s="377"/>
      <c r="L976" s="1"/>
      <c r="M976" s="2"/>
      <c r="N976" s="19">
        <v>75</v>
      </c>
      <c r="O976" s="22" t="str">
        <f t="shared" si="48"/>
        <v/>
      </c>
      <c r="P976" s="19" t="s">
        <v>71</v>
      </c>
      <c r="Q976" s="375" t="s">
        <v>72</v>
      </c>
      <c r="R976" s="375"/>
      <c r="S976" s="375"/>
      <c r="T976" s="106"/>
      <c r="U976" s="11"/>
      <c r="V976" s="320">
        <v>82</v>
      </c>
      <c r="W976" s="372" t="str">
        <f>IF(OR(G976="Collectors",G976="Special Pricing",G976="Boutique",G976="leafjoy littles",G976="Premium"),
    IF(V976&gt;0,"Show","Hide"),
    IF(V976 &gt;= _xlfn.XLOOKUP(F976,'Min table'!C$3:C$5,),"Show","Hide")
)</f>
        <v>Show</v>
      </c>
      <c r="X976" s="317" t="s">
        <v>2670</v>
      </c>
      <c r="Y976" s="317" t="s">
        <v>1503</v>
      </c>
    </row>
    <row r="977" spans="3:25" ht="18.75" hidden="1" x14ac:dyDescent="0.3">
      <c r="C977" s="322"/>
      <c r="D977" s="9"/>
      <c r="E977" s="9"/>
      <c r="F977" s="21" t="s">
        <v>62</v>
      </c>
      <c r="G977" s="20" t="s">
        <v>1728</v>
      </c>
      <c r="H977" s="377" t="s">
        <v>1504</v>
      </c>
      <c r="I977" s="377"/>
      <c r="J977" s="377" t="s">
        <v>1505</v>
      </c>
      <c r="K977" s="377"/>
      <c r="L977" s="1"/>
      <c r="M977" s="2"/>
      <c r="N977" s="19">
        <v>150</v>
      </c>
      <c r="O977" s="22" t="str">
        <f t="shared" si="48"/>
        <v/>
      </c>
      <c r="P977" s="19" t="s">
        <v>600</v>
      </c>
      <c r="Q977" s="375" t="s">
        <v>72</v>
      </c>
      <c r="R977" s="375"/>
      <c r="S977" s="375"/>
      <c r="T977" s="93"/>
      <c r="U977" s="11"/>
      <c r="V977" s="320">
        <v>0</v>
      </c>
      <c r="W977" s="332" t="str">
        <f>IF(V977 &gt;= _xlfn.XLOOKUP(F977,'Min table'!A$3:A$5,'Min table'!B$3:B$5), "Show", "Hide")</f>
        <v>Hide</v>
      </c>
      <c r="X977" s="317" t="s">
        <v>2671</v>
      </c>
      <c r="Y977" s="317" t="s">
        <v>1506</v>
      </c>
    </row>
    <row r="978" spans="3:25" ht="18.75" hidden="1" x14ac:dyDescent="0.3">
      <c r="C978" s="322"/>
      <c r="D978" s="9"/>
      <c r="E978" s="9"/>
      <c r="F978" s="21" t="s">
        <v>62</v>
      </c>
      <c r="G978" s="20" t="s">
        <v>945</v>
      </c>
      <c r="H978" s="377" t="s">
        <v>1507</v>
      </c>
      <c r="I978" s="377"/>
      <c r="J978" s="377" t="s">
        <v>1508</v>
      </c>
      <c r="K978" s="377"/>
      <c r="L978" s="1"/>
      <c r="M978" s="2"/>
      <c r="N978" s="19">
        <v>13</v>
      </c>
      <c r="O978" s="22" t="str">
        <f t="shared" si="48"/>
        <v/>
      </c>
      <c r="P978" s="19" t="s">
        <v>612</v>
      </c>
      <c r="Q978" s="375" t="s">
        <v>566</v>
      </c>
      <c r="R978" s="375"/>
      <c r="S978" s="375"/>
      <c r="T978" s="93"/>
      <c r="U978" s="11"/>
      <c r="V978" s="320">
        <v>0</v>
      </c>
      <c r="W978" s="332" t="str">
        <f>IF(V978 &gt;= _xlfn.XLOOKUP(F978,'Min table'!A$3:A$5,'Min table'!B$3:B$5), "Show", "Hide")</f>
        <v>Hide</v>
      </c>
      <c r="X978" s="317" t="s">
        <v>2672</v>
      </c>
      <c r="Y978" s="317" t="s">
        <v>1509</v>
      </c>
    </row>
    <row r="979" spans="3:25" ht="18.75" hidden="1" x14ac:dyDescent="0.3">
      <c r="C979" s="322"/>
      <c r="D979" s="9"/>
      <c r="E979" s="9"/>
      <c r="F979" s="21" t="s">
        <v>62</v>
      </c>
      <c r="G979" s="20" t="s">
        <v>1301</v>
      </c>
      <c r="H979" s="377" t="s">
        <v>2760</v>
      </c>
      <c r="I979" s="377"/>
      <c r="J979" s="377" t="s">
        <v>1510</v>
      </c>
      <c r="K979" s="377"/>
      <c r="L979" s="1"/>
      <c r="M979" s="2"/>
      <c r="N979" s="19">
        <v>50</v>
      </c>
      <c r="O979" s="22" t="str">
        <f>IF(AND(L979="",M979=""),"",(L979*N979)+(M979*(N979+3.47)))</f>
        <v/>
      </c>
      <c r="P979" s="19" t="s">
        <v>71</v>
      </c>
      <c r="Q979" s="375" t="s">
        <v>72</v>
      </c>
      <c r="R979" s="375"/>
      <c r="S979" s="375"/>
      <c r="T979" s="106"/>
      <c r="U979" s="11"/>
      <c r="V979" s="320">
        <v>-1</v>
      </c>
      <c r="W979" s="332" t="str">
        <f>IF(V979 &gt;= _xlfn.XLOOKUP(F979,'Min table'!A$3:A$5,'Min table'!B$3:B$5), "Show", "Hide")</f>
        <v>Hide</v>
      </c>
      <c r="X979" s="317" t="s">
        <v>2673</v>
      </c>
      <c r="Y979" s="317" t="s">
        <v>1511</v>
      </c>
    </row>
    <row r="980" spans="3:25" ht="18.75" hidden="1" x14ac:dyDescent="0.3">
      <c r="C980" s="322"/>
      <c r="D980" s="9"/>
      <c r="E980" s="9"/>
      <c r="F980" s="21" t="s">
        <v>62</v>
      </c>
      <c r="G980" s="20" t="s">
        <v>1728</v>
      </c>
      <c r="H980" s="377" t="s">
        <v>1512</v>
      </c>
      <c r="I980" s="377"/>
      <c r="J980" s="377" t="s">
        <v>1513</v>
      </c>
      <c r="K980" s="377"/>
      <c r="L980" s="1"/>
      <c r="M980" s="2"/>
      <c r="N980" s="19">
        <v>75</v>
      </c>
      <c r="O980" s="22" t="str">
        <f t="shared" si="48"/>
        <v/>
      </c>
      <c r="P980" s="19" t="s">
        <v>1867</v>
      </c>
      <c r="Q980" s="375" t="s">
        <v>72</v>
      </c>
      <c r="R980" s="375"/>
      <c r="S980" s="375"/>
      <c r="T980" s="93"/>
      <c r="U980" s="11"/>
      <c r="V980" s="320">
        <v>0</v>
      </c>
      <c r="W980" s="332" t="str">
        <f>IF(V980 &gt;= _xlfn.XLOOKUP(F980,'Min table'!A$3:A$5,'Min table'!B$3:B$5), "Show", "Hide")</f>
        <v>Hide</v>
      </c>
      <c r="X980" s="317" t="s">
        <v>2674</v>
      </c>
      <c r="Y980" s="317" t="s">
        <v>1514</v>
      </c>
    </row>
    <row r="981" spans="3:25" ht="18.75" hidden="1" x14ac:dyDescent="0.3">
      <c r="C981" s="322"/>
      <c r="D981" s="9"/>
      <c r="E981" s="9"/>
      <c r="F981" s="21" t="s">
        <v>62</v>
      </c>
      <c r="G981" s="20" t="s">
        <v>1728</v>
      </c>
      <c r="H981" s="377" t="s">
        <v>1515</v>
      </c>
      <c r="I981" s="377"/>
      <c r="J981" s="377" t="s">
        <v>1513</v>
      </c>
      <c r="K981" s="377"/>
      <c r="L981" s="1"/>
      <c r="M981" s="2"/>
      <c r="N981" s="19"/>
      <c r="O981" s="22" t="str">
        <f t="shared" si="48"/>
        <v/>
      </c>
      <c r="P981" s="19" t="s">
        <v>71</v>
      </c>
      <c r="Q981" s="375" t="s">
        <v>72</v>
      </c>
      <c r="R981" s="375"/>
      <c r="S981" s="375"/>
      <c r="T981" s="93"/>
      <c r="U981" s="11"/>
      <c r="V981" s="320">
        <v>0</v>
      </c>
      <c r="W981" s="332" t="str">
        <f>IF(V981 &gt;= _xlfn.XLOOKUP(F981,'Min table'!A$3:A$5,'Min table'!B$3:B$5), "Show", "Hide")</f>
        <v>Hide</v>
      </c>
      <c r="X981" s="317" t="s">
        <v>2675</v>
      </c>
      <c r="Y981" s="317" t="s">
        <v>1516</v>
      </c>
    </row>
    <row r="982" spans="3:25" ht="18.75" hidden="1" x14ac:dyDescent="0.3">
      <c r="C982" s="322"/>
      <c r="D982" s="9"/>
      <c r="E982" s="9"/>
      <c r="F982" s="21" t="s">
        <v>62</v>
      </c>
      <c r="G982" s="20" t="s">
        <v>942</v>
      </c>
      <c r="H982" s="377" t="s">
        <v>1517</v>
      </c>
      <c r="I982" s="377"/>
      <c r="J982" s="377" t="s">
        <v>1518</v>
      </c>
      <c r="K982" s="377"/>
      <c r="L982" s="1"/>
      <c r="M982" s="2"/>
      <c r="N982" s="19">
        <v>24</v>
      </c>
      <c r="O982" s="22" t="str">
        <f t="shared" si="48"/>
        <v/>
      </c>
      <c r="P982" s="19" t="s">
        <v>612</v>
      </c>
      <c r="Q982" s="375" t="s">
        <v>1519</v>
      </c>
      <c r="R982" s="375"/>
      <c r="S982" s="375"/>
      <c r="T982" s="93"/>
      <c r="U982" s="11"/>
      <c r="V982" s="320">
        <v>0</v>
      </c>
      <c r="W982" s="332" t="str">
        <f>IF(V982 &gt;= _xlfn.XLOOKUP(F982,'Min table'!A$3:A$5,'Min table'!B$3:B$5), "Show", "Hide")</f>
        <v>Hide</v>
      </c>
      <c r="X982" s="317" t="s">
        <v>2676</v>
      </c>
      <c r="Y982" s="317" t="s">
        <v>1520</v>
      </c>
    </row>
    <row r="983" spans="3:25" ht="18.75" hidden="1" x14ac:dyDescent="0.3">
      <c r="C983" s="322"/>
      <c r="D983" s="9"/>
      <c r="E983" s="9"/>
      <c r="F983" s="21" t="s">
        <v>62</v>
      </c>
      <c r="G983" s="20" t="s">
        <v>945</v>
      </c>
      <c r="H983" s="377" t="s">
        <v>1521</v>
      </c>
      <c r="I983" s="377"/>
      <c r="J983" s="377" t="s">
        <v>1522</v>
      </c>
      <c r="K983" s="377"/>
      <c r="L983" s="1"/>
      <c r="M983" s="2"/>
      <c r="N983" s="19">
        <v>13</v>
      </c>
      <c r="O983" s="22" t="str">
        <f t="shared" si="48"/>
        <v/>
      </c>
      <c r="P983" s="19" t="s">
        <v>1523</v>
      </c>
      <c r="Q983" s="375" t="s">
        <v>566</v>
      </c>
      <c r="R983" s="375"/>
      <c r="S983" s="375"/>
      <c r="T983" s="93"/>
      <c r="U983" s="11"/>
      <c r="V983" s="320">
        <v>0</v>
      </c>
      <c r="W983" s="332" t="str">
        <f>IF(V983 &gt;= _xlfn.XLOOKUP(F983,'Min table'!A$3:A$5,'Min table'!B$3:B$5), "Show", "Hide")</f>
        <v>Hide</v>
      </c>
      <c r="X983" s="317" t="s">
        <v>2677</v>
      </c>
      <c r="Y983" s="317" t="s">
        <v>1524</v>
      </c>
    </row>
    <row r="984" spans="3:25" ht="18.75" hidden="1" x14ac:dyDescent="0.3">
      <c r="C984" s="322"/>
      <c r="D984" s="9"/>
      <c r="E984" s="9"/>
      <c r="F984" s="21" t="s">
        <v>62</v>
      </c>
      <c r="G984" s="20" t="s">
        <v>945</v>
      </c>
      <c r="H984" s="377" t="s">
        <v>1282</v>
      </c>
      <c r="I984" s="377"/>
      <c r="J984" s="377" t="s">
        <v>1525</v>
      </c>
      <c r="K984" s="377"/>
      <c r="L984" s="1"/>
      <c r="M984" s="2"/>
      <c r="N984" s="19">
        <v>13</v>
      </c>
      <c r="O984" s="22" t="str">
        <f t="shared" si="48"/>
        <v/>
      </c>
      <c r="P984" s="19" t="s">
        <v>1523</v>
      </c>
      <c r="Q984" s="375" t="s">
        <v>566</v>
      </c>
      <c r="R984" s="375"/>
      <c r="S984" s="375"/>
      <c r="T984" s="93"/>
      <c r="U984" s="11"/>
      <c r="V984" s="320">
        <v>0</v>
      </c>
      <c r="W984" s="332" t="str">
        <f>IF(V984 &gt;= _xlfn.XLOOKUP(F984,'Min table'!A$3:A$5,'Min table'!B$3:B$5), "Show", "Hide")</f>
        <v>Hide</v>
      </c>
      <c r="X984" s="317" t="s">
        <v>2678</v>
      </c>
      <c r="Y984" s="317" t="s">
        <v>1526</v>
      </c>
    </row>
    <row r="985" spans="3:25" ht="18.75" hidden="1" x14ac:dyDescent="0.3">
      <c r="C985" s="322"/>
      <c r="D985" s="9"/>
      <c r="E985" s="9"/>
      <c r="F985" s="21" t="s">
        <v>62</v>
      </c>
      <c r="G985" s="20" t="s">
        <v>945</v>
      </c>
      <c r="H985" s="377" t="s">
        <v>1527</v>
      </c>
      <c r="I985" s="377"/>
      <c r="J985" s="377" t="s">
        <v>1528</v>
      </c>
      <c r="K985" s="377"/>
      <c r="L985" s="1"/>
      <c r="M985" s="2"/>
      <c r="N985" s="19">
        <v>13</v>
      </c>
      <c r="O985" s="22" t="str">
        <f t="shared" si="48"/>
        <v/>
      </c>
      <c r="P985" s="19" t="s">
        <v>600</v>
      </c>
      <c r="Q985" s="375" t="s">
        <v>566</v>
      </c>
      <c r="R985" s="375"/>
      <c r="S985" s="375"/>
      <c r="T985" s="93"/>
      <c r="U985" s="11"/>
      <c r="V985" s="320">
        <v>0</v>
      </c>
      <c r="W985" s="332" t="str">
        <f>IF(V985 &gt;= _xlfn.XLOOKUP(F985,'Min table'!A$3:A$5,'Min table'!B$3:B$5), "Show", "Hide")</f>
        <v>Hide</v>
      </c>
      <c r="X985" s="317" t="s">
        <v>2679</v>
      </c>
      <c r="Y985" s="317" t="s">
        <v>1529</v>
      </c>
    </row>
    <row r="986" spans="3:25" ht="18.75" hidden="1" x14ac:dyDescent="0.3">
      <c r="C986" s="322"/>
      <c r="D986" s="9"/>
      <c r="E986" s="9"/>
      <c r="F986" s="21" t="s">
        <v>62</v>
      </c>
      <c r="G986" s="20" t="s">
        <v>945</v>
      </c>
      <c r="H986" s="377" t="s">
        <v>1530</v>
      </c>
      <c r="I986" s="377"/>
      <c r="J986" s="377" t="s">
        <v>1531</v>
      </c>
      <c r="K986" s="377"/>
      <c r="L986" s="1"/>
      <c r="M986" s="2"/>
      <c r="N986" s="19">
        <v>13</v>
      </c>
      <c r="O986" s="22" t="str">
        <f t="shared" si="48"/>
        <v/>
      </c>
      <c r="P986" s="19" t="s">
        <v>1479</v>
      </c>
      <c r="Q986" s="375" t="s">
        <v>566</v>
      </c>
      <c r="R986" s="375"/>
      <c r="S986" s="375"/>
      <c r="T986" s="93"/>
      <c r="U986" s="11"/>
      <c r="V986" s="320">
        <v>0</v>
      </c>
      <c r="W986" s="332" t="str">
        <f>IF(V986 &gt;= _xlfn.XLOOKUP(F986,'Min table'!A$3:A$5,'Min table'!B$3:B$5), "Show", "Hide")</f>
        <v>Hide</v>
      </c>
      <c r="X986" s="317" t="s">
        <v>2680</v>
      </c>
      <c r="Y986" s="317" t="s">
        <v>1532</v>
      </c>
    </row>
    <row r="987" spans="3:25" ht="18.75" hidden="1" x14ac:dyDescent="0.3">
      <c r="C987" s="322"/>
      <c r="D987" s="9"/>
      <c r="E987" s="9"/>
      <c r="F987" s="21" t="s">
        <v>62</v>
      </c>
      <c r="G987" s="20" t="s">
        <v>945</v>
      </c>
      <c r="H987" s="377" t="s">
        <v>1533</v>
      </c>
      <c r="I987" s="377"/>
      <c r="J987" s="377" t="s">
        <v>1534</v>
      </c>
      <c r="K987" s="377"/>
      <c r="L987" s="1"/>
      <c r="M987" s="2"/>
      <c r="N987" s="19">
        <v>13</v>
      </c>
      <c r="O987" s="22" t="str">
        <f t="shared" si="48"/>
        <v/>
      </c>
      <c r="P987" s="19" t="s">
        <v>245</v>
      </c>
      <c r="Q987" s="375" t="s">
        <v>566</v>
      </c>
      <c r="R987" s="375"/>
      <c r="S987" s="375"/>
      <c r="T987" s="93"/>
      <c r="U987" s="11"/>
      <c r="V987" s="320">
        <v>0</v>
      </c>
      <c r="W987" s="332" t="str">
        <f>IF(V987 &gt;= _xlfn.XLOOKUP(F987,'Min table'!A$3:A$5,'Min table'!B$3:B$5), "Show", "Hide")</f>
        <v>Hide</v>
      </c>
      <c r="X987" s="317" t="s">
        <v>2681</v>
      </c>
      <c r="Y987" s="317" t="s">
        <v>1535</v>
      </c>
    </row>
    <row r="988" spans="3:25" ht="18.75" hidden="1" x14ac:dyDescent="0.3">
      <c r="C988" s="322"/>
      <c r="D988" s="9"/>
      <c r="E988" s="9"/>
      <c r="F988" s="21" t="s">
        <v>62</v>
      </c>
      <c r="G988" s="20" t="s">
        <v>1853</v>
      </c>
      <c r="H988" s="377" t="s">
        <v>1536</v>
      </c>
      <c r="I988" s="377"/>
      <c r="J988" s="377" t="s">
        <v>1537</v>
      </c>
      <c r="K988" s="377"/>
      <c r="L988" s="1"/>
      <c r="M988" s="2"/>
      <c r="N988" s="19">
        <v>16.5</v>
      </c>
      <c r="O988" s="22" t="str">
        <f t="shared" si="48"/>
        <v/>
      </c>
      <c r="P988" s="19" t="s">
        <v>1538</v>
      </c>
      <c r="Q988" s="375" t="s">
        <v>655</v>
      </c>
      <c r="R988" s="375"/>
      <c r="S988" s="375"/>
      <c r="T988" s="93"/>
      <c r="U988" s="11"/>
      <c r="V988" s="320">
        <v>0</v>
      </c>
      <c r="W988" s="332" t="str">
        <f>IF(V988 &gt;= _xlfn.XLOOKUP(F988,'Min table'!A$3:A$5,'Min table'!B$3:B$5), "Show", "Hide")</f>
        <v>Hide</v>
      </c>
      <c r="X988" s="317" t="s">
        <v>2682</v>
      </c>
      <c r="Y988" s="317" t="s">
        <v>1539</v>
      </c>
    </row>
    <row r="989" spans="3:25" ht="18.75" x14ac:dyDescent="0.3">
      <c r="C989" s="322"/>
      <c r="D989" s="9"/>
      <c r="E989" s="9"/>
      <c r="F989" s="21" t="s">
        <v>62</v>
      </c>
      <c r="G989" s="20" t="s">
        <v>1853</v>
      </c>
      <c r="H989" s="376" t="s">
        <v>1540</v>
      </c>
      <c r="I989" s="376"/>
      <c r="J989" s="376" t="s">
        <v>1541</v>
      </c>
      <c r="K989" s="376"/>
      <c r="L989" s="1"/>
      <c r="M989" s="2"/>
      <c r="N989" s="19">
        <v>18.149999999999999</v>
      </c>
      <c r="O989" s="22" t="str">
        <f t="shared" si="48"/>
        <v/>
      </c>
      <c r="P989" s="19" t="s">
        <v>1538</v>
      </c>
      <c r="Q989" s="375" t="s">
        <v>655</v>
      </c>
      <c r="R989" s="375"/>
      <c r="S989" s="375"/>
      <c r="T989" s="106"/>
      <c r="U989" s="11"/>
      <c r="V989" s="320">
        <v>20</v>
      </c>
      <c r="W989" s="372" t="e">
        <f>IF(OR(G989="Collectors",G989="Special Pricing",G989="Boutique",G989="leafjoy littles",G989="Premium"),
    IF(V989&gt;0,"Show","Hide"),
    IF(V989 &gt;= _xlfn.XLOOKUP(F989,'Min table'!C$3:C$5,),"Show","Hide")
)</f>
        <v>#VALUE!</v>
      </c>
      <c r="X989" s="317" t="s">
        <v>2683</v>
      </c>
      <c r="Y989" s="317" t="s">
        <v>1542</v>
      </c>
    </row>
    <row r="990" spans="3:25" ht="18.75" hidden="1" x14ac:dyDescent="0.3">
      <c r="C990" s="322"/>
      <c r="D990" s="9"/>
      <c r="E990" s="9"/>
      <c r="F990" s="21" t="s">
        <v>62</v>
      </c>
      <c r="G990" s="20" t="s">
        <v>945</v>
      </c>
      <c r="H990" s="377" t="s">
        <v>1543</v>
      </c>
      <c r="I990" s="377"/>
      <c r="J990" s="377" t="s">
        <v>660</v>
      </c>
      <c r="K990" s="377"/>
      <c r="L990" s="1"/>
      <c r="M990" s="2"/>
      <c r="N990" s="19">
        <v>20</v>
      </c>
      <c r="O990" s="22" t="str">
        <f t="shared" si="48"/>
        <v/>
      </c>
      <c r="P990" s="19" t="s">
        <v>1421</v>
      </c>
      <c r="Q990" s="375" t="s">
        <v>566</v>
      </c>
      <c r="R990" s="375"/>
      <c r="S990" s="375"/>
      <c r="T990" s="93"/>
      <c r="U990" s="11"/>
      <c r="V990" s="320">
        <v>0</v>
      </c>
      <c r="W990" s="332" t="str">
        <f>IF(V990 &gt;= _xlfn.XLOOKUP(F990,'Min table'!A$3:A$5,'Min table'!B$3:B$5), "Show", "Hide")</f>
        <v>Hide</v>
      </c>
      <c r="X990" s="317" t="s">
        <v>2684</v>
      </c>
      <c r="Y990" s="317" t="s">
        <v>1544</v>
      </c>
    </row>
    <row r="991" spans="3:25" ht="18.75" hidden="1" x14ac:dyDescent="0.3">
      <c r="C991" s="322"/>
      <c r="D991" s="9"/>
      <c r="E991" s="9"/>
      <c r="F991" s="21" t="s">
        <v>62</v>
      </c>
      <c r="G991" s="20" t="s">
        <v>991</v>
      </c>
      <c r="H991" s="377" t="s">
        <v>1545</v>
      </c>
      <c r="I991" s="377"/>
      <c r="J991" s="377" t="s">
        <v>1546</v>
      </c>
      <c r="K991" s="377"/>
      <c r="L991" s="1"/>
      <c r="M991" s="2"/>
      <c r="N991" s="19">
        <v>30</v>
      </c>
      <c r="O991" s="22" t="str">
        <f t="shared" si="48"/>
        <v/>
      </c>
      <c r="P991" s="19" t="s">
        <v>600</v>
      </c>
      <c r="Q991" s="375" t="s">
        <v>66</v>
      </c>
      <c r="R991" s="375"/>
      <c r="S991" s="375"/>
      <c r="T991" s="93"/>
      <c r="U991" s="11"/>
      <c r="V991" s="320">
        <v>0</v>
      </c>
      <c r="W991" s="332" t="str">
        <f>IF(V991 &gt;= _xlfn.XLOOKUP(F991,'Min table'!A$3:A$5,'Min table'!B$3:B$5), "Show", "Hide")</f>
        <v>Hide</v>
      </c>
      <c r="X991" s="317" t="s">
        <v>2685</v>
      </c>
      <c r="Y991" s="317" t="s">
        <v>1547</v>
      </c>
    </row>
    <row r="992" spans="3:25" ht="18.75" hidden="1" x14ac:dyDescent="0.3">
      <c r="C992" s="322"/>
      <c r="D992" s="9"/>
      <c r="E992" s="9"/>
      <c r="F992" s="21" t="s">
        <v>62</v>
      </c>
      <c r="G992" s="20" t="s">
        <v>945</v>
      </c>
      <c r="H992" s="377" t="s">
        <v>1548</v>
      </c>
      <c r="I992" s="377"/>
      <c r="J992" s="377">
        <v>0</v>
      </c>
      <c r="K992" s="377"/>
      <c r="L992" s="1"/>
      <c r="M992" s="2"/>
      <c r="N992" s="19">
        <v>13</v>
      </c>
      <c r="O992" s="22" t="str">
        <f t="shared" si="48"/>
        <v/>
      </c>
      <c r="P992" s="19" t="s">
        <v>1549</v>
      </c>
      <c r="Q992" s="375" t="s">
        <v>566</v>
      </c>
      <c r="R992" s="375"/>
      <c r="S992" s="375"/>
      <c r="T992" s="93"/>
      <c r="U992" s="11"/>
      <c r="V992" s="320">
        <v>0</v>
      </c>
      <c r="W992" s="332" t="str">
        <f>IF(V992 &gt;= _xlfn.XLOOKUP(F992,'Min table'!A$3:A$5,'Min table'!B$3:B$5), "Show", "Hide")</f>
        <v>Hide</v>
      </c>
      <c r="X992" s="317" t="s">
        <v>2686</v>
      </c>
      <c r="Y992" s="317" t="s">
        <v>1550</v>
      </c>
    </row>
    <row r="993" spans="3:25" ht="18.75" hidden="1" x14ac:dyDescent="0.3">
      <c r="C993" s="322"/>
      <c r="D993" s="9"/>
      <c r="E993" s="9"/>
      <c r="F993" s="21" t="s">
        <v>62</v>
      </c>
      <c r="G993" s="20" t="s">
        <v>945</v>
      </c>
      <c r="H993" s="377" t="s">
        <v>1551</v>
      </c>
      <c r="I993" s="377"/>
      <c r="J993" s="377" t="s">
        <v>1552</v>
      </c>
      <c r="K993" s="377"/>
      <c r="L993" s="1"/>
      <c r="M993" s="2"/>
      <c r="N993" s="19">
        <v>13</v>
      </c>
      <c r="O993" s="22" t="str">
        <f t="shared" si="48"/>
        <v/>
      </c>
      <c r="P993" s="19" t="s">
        <v>600</v>
      </c>
      <c r="Q993" s="375" t="s">
        <v>566</v>
      </c>
      <c r="R993" s="375"/>
      <c r="S993" s="375"/>
      <c r="T993" s="93"/>
      <c r="U993" s="11"/>
      <c r="V993" s="320">
        <v>0</v>
      </c>
      <c r="W993" s="332" t="str">
        <f>IF(V993 &gt;= _xlfn.XLOOKUP(F993,'Min table'!A$3:A$5,'Min table'!B$3:B$5), "Show", "Hide")</f>
        <v>Hide</v>
      </c>
      <c r="X993" s="317" t="s">
        <v>2687</v>
      </c>
      <c r="Y993" s="317" t="s">
        <v>1553</v>
      </c>
    </row>
    <row r="994" spans="3:25" ht="18.75" hidden="1" x14ac:dyDescent="0.3">
      <c r="C994" s="322"/>
      <c r="D994" s="9"/>
      <c r="E994" s="9"/>
      <c r="F994" s="21" t="s">
        <v>62</v>
      </c>
      <c r="G994" s="20" t="s">
        <v>942</v>
      </c>
      <c r="H994" s="377" t="s">
        <v>1298</v>
      </c>
      <c r="I994" s="377"/>
      <c r="J994" s="377" t="s">
        <v>1554</v>
      </c>
      <c r="K994" s="377"/>
      <c r="L994" s="1"/>
      <c r="M994" s="2"/>
      <c r="N994" s="19">
        <v>17</v>
      </c>
      <c r="O994" s="22" t="str">
        <f t="shared" si="48"/>
        <v/>
      </c>
      <c r="P994" s="19" t="s">
        <v>389</v>
      </c>
      <c r="Q994" s="375" t="s">
        <v>655</v>
      </c>
      <c r="R994" s="375"/>
      <c r="S994" s="375"/>
      <c r="T994" s="93"/>
      <c r="U994" s="11"/>
      <c r="V994" s="320">
        <v>0</v>
      </c>
      <c r="W994" s="332" t="str">
        <f>IF(V994 &gt;= _xlfn.XLOOKUP(F994,'Min table'!A$3:A$5,'Min table'!B$3:B$5), "Show", "Hide")</f>
        <v>Hide</v>
      </c>
      <c r="X994" s="317" t="s">
        <v>2688</v>
      </c>
      <c r="Y994" s="317" t="s">
        <v>1555</v>
      </c>
    </row>
    <row r="995" spans="3:25" ht="18.75" hidden="1" x14ac:dyDescent="0.3">
      <c r="C995" s="322"/>
      <c r="D995" s="9"/>
      <c r="E995" s="9"/>
      <c r="F995" s="21" t="s">
        <v>62</v>
      </c>
      <c r="G995" s="20" t="s">
        <v>945</v>
      </c>
      <c r="H995" s="377" t="s">
        <v>1556</v>
      </c>
      <c r="I995" s="377"/>
      <c r="J995" s="377" t="s">
        <v>1557</v>
      </c>
      <c r="K995" s="377"/>
      <c r="L995" s="1"/>
      <c r="M995" s="2"/>
      <c r="N995" s="19">
        <v>20</v>
      </c>
      <c r="O995" s="22" t="str">
        <f t="shared" si="48"/>
        <v/>
      </c>
      <c r="P995" s="19" t="s">
        <v>1421</v>
      </c>
      <c r="Q995" s="375" t="s">
        <v>566</v>
      </c>
      <c r="R995" s="375"/>
      <c r="S995" s="375"/>
      <c r="T995" s="93"/>
      <c r="U995" s="11"/>
      <c r="V995" s="320">
        <v>0</v>
      </c>
      <c r="W995" s="332" t="str">
        <f>IF(V995 &gt;= _xlfn.XLOOKUP(F995,'Min table'!A$3:A$5,'Min table'!B$3:B$5), "Show", "Hide")</f>
        <v>Hide</v>
      </c>
      <c r="X995" s="317" t="s">
        <v>2689</v>
      </c>
      <c r="Y995" s="317" t="s">
        <v>1558</v>
      </c>
    </row>
    <row r="996" spans="3:25" ht="18.75" hidden="1" x14ac:dyDescent="0.3">
      <c r="C996" s="322"/>
      <c r="D996" s="9"/>
      <c r="E996" s="9"/>
      <c r="F996" s="21" t="s">
        <v>62</v>
      </c>
      <c r="G996" s="20" t="s">
        <v>1728</v>
      </c>
      <c r="H996" s="376" t="s">
        <v>1302</v>
      </c>
      <c r="I996" s="376"/>
      <c r="J996" s="376" t="s">
        <v>1559</v>
      </c>
      <c r="K996" s="376"/>
      <c r="L996" s="1"/>
      <c r="M996" s="2"/>
      <c r="N996" s="19">
        <v>100</v>
      </c>
      <c r="O996" s="22" t="str">
        <f t="shared" si="48"/>
        <v/>
      </c>
      <c r="P996" s="19" t="s">
        <v>1560</v>
      </c>
      <c r="Q996" s="375" t="s">
        <v>72</v>
      </c>
      <c r="R996" s="375"/>
      <c r="S996" s="375"/>
      <c r="T996" s="93"/>
      <c r="U996" s="11"/>
      <c r="V996" s="320">
        <v>1</v>
      </c>
      <c r="W996" s="332" t="str">
        <f>IF(V996 &gt;= _xlfn.XLOOKUP(F996,'Min table'!A$3:A$5,'Min table'!B$3:B$5), "Show", "Hide")</f>
        <v>Hide</v>
      </c>
      <c r="X996" s="317" t="s">
        <v>2497</v>
      </c>
      <c r="Y996" s="317" t="s">
        <v>1561</v>
      </c>
    </row>
    <row r="997" spans="3:25" ht="18.75" hidden="1" x14ac:dyDescent="0.3">
      <c r="C997" s="322"/>
      <c r="D997" s="9"/>
      <c r="E997" s="9"/>
      <c r="F997" s="21" t="s">
        <v>62</v>
      </c>
      <c r="G997" s="20" t="s">
        <v>945</v>
      </c>
      <c r="H997" s="377" t="s">
        <v>1562</v>
      </c>
      <c r="I997" s="377"/>
      <c r="J997" s="377" t="s">
        <v>1563</v>
      </c>
      <c r="K997" s="377"/>
      <c r="L997" s="1"/>
      <c r="M997" s="2"/>
      <c r="N997" s="19">
        <v>13</v>
      </c>
      <c r="O997" s="22" t="str">
        <f t="shared" si="48"/>
        <v/>
      </c>
      <c r="P997" s="19" t="s">
        <v>1421</v>
      </c>
      <c r="Q997" s="375" t="s">
        <v>566</v>
      </c>
      <c r="R997" s="375"/>
      <c r="S997" s="375"/>
      <c r="T997" s="93"/>
      <c r="U997" s="11"/>
      <c r="V997" s="320">
        <v>0</v>
      </c>
      <c r="W997" s="332" t="str">
        <f>IF(V997 &gt;= _xlfn.XLOOKUP(F997,'Min table'!A$3:A$5,'Min table'!B$3:B$5), "Show", "Hide")</f>
        <v>Hide</v>
      </c>
      <c r="X997" s="317" t="s">
        <v>2690</v>
      </c>
      <c r="Y997" s="317" t="s">
        <v>1564</v>
      </c>
    </row>
    <row r="998" spans="3:25" ht="18.75" hidden="1" x14ac:dyDescent="0.3">
      <c r="C998" s="322"/>
      <c r="D998" s="9"/>
      <c r="E998" s="9"/>
      <c r="F998" s="21" t="s">
        <v>62</v>
      </c>
      <c r="G998" s="20" t="s">
        <v>1853</v>
      </c>
      <c r="H998" s="517" t="s">
        <v>2582</v>
      </c>
      <c r="I998" s="377"/>
      <c r="J998" s="377" t="s">
        <v>1563</v>
      </c>
      <c r="K998" s="377"/>
      <c r="L998" s="1"/>
      <c r="M998" s="2"/>
      <c r="N998" s="19">
        <v>18.149999999999999</v>
      </c>
      <c r="O998" s="22"/>
      <c r="P998" s="19" t="s">
        <v>2250</v>
      </c>
      <c r="Q998" s="375" t="s">
        <v>655</v>
      </c>
      <c r="R998" s="375"/>
      <c r="S998" s="375"/>
      <c r="T998" s="93"/>
      <c r="U998" s="11"/>
      <c r="V998" s="320">
        <v>3</v>
      </c>
      <c r="W998" s="332" t="str">
        <f>IF(V998 &gt;= _xlfn.XLOOKUP(F998,'Min table'!A$3:A$5,'Min table'!B$3:B$5), "Show", "Hide")</f>
        <v>Hide</v>
      </c>
      <c r="X998" s="317" t="s">
        <v>2691</v>
      </c>
    </row>
    <row r="999" spans="3:25" ht="18.75" hidden="1" x14ac:dyDescent="0.3">
      <c r="C999" s="322"/>
      <c r="D999" s="9"/>
      <c r="E999" s="9"/>
      <c r="F999" s="21" t="s">
        <v>62</v>
      </c>
      <c r="G999" s="20" t="s">
        <v>942</v>
      </c>
      <c r="H999" s="377" t="s">
        <v>1565</v>
      </c>
      <c r="I999" s="377"/>
      <c r="J999" s="377" t="s">
        <v>1566</v>
      </c>
      <c r="K999" s="377"/>
      <c r="L999" s="1"/>
      <c r="M999" s="2"/>
      <c r="N999" s="19">
        <v>17</v>
      </c>
      <c r="O999" s="22" t="str">
        <f t="shared" si="48"/>
        <v/>
      </c>
      <c r="P999" s="19" t="s">
        <v>245</v>
      </c>
      <c r="Q999" s="375" t="s">
        <v>655</v>
      </c>
      <c r="R999" s="375"/>
      <c r="S999" s="375"/>
      <c r="T999" s="93"/>
      <c r="U999" s="11"/>
      <c r="V999" s="320">
        <v>0</v>
      </c>
      <c r="W999" s="332" t="str">
        <f>IF(V999 &gt;= _xlfn.XLOOKUP(F999,'Min table'!A$3:A$5,'Min table'!B$3:B$5), "Show", "Hide")</f>
        <v>Hide</v>
      </c>
      <c r="X999" s="317" t="s">
        <v>2692</v>
      </c>
      <c r="Y999" s="317" t="s">
        <v>1841</v>
      </c>
    </row>
    <row r="1000" spans="3:25" ht="18.75" hidden="1" x14ac:dyDescent="0.3">
      <c r="C1000" s="322"/>
      <c r="D1000" s="9"/>
      <c r="E1000" s="9"/>
      <c r="F1000" s="21" t="s">
        <v>62</v>
      </c>
      <c r="G1000" s="20" t="s">
        <v>1853</v>
      </c>
      <c r="H1000" s="377" t="s">
        <v>1567</v>
      </c>
      <c r="I1000" s="377"/>
      <c r="J1000" s="377" t="s">
        <v>1568</v>
      </c>
      <c r="K1000" s="377"/>
      <c r="L1000" s="1"/>
      <c r="M1000" s="2"/>
      <c r="N1000" s="19">
        <v>16.5</v>
      </c>
      <c r="O1000" s="22" t="str">
        <f t="shared" si="48"/>
        <v/>
      </c>
      <c r="P1000" s="19" t="s">
        <v>389</v>
      </c>
      <c r="Q1000" s="375" t="s">
        <v>655</v>
      </c>
      <c r="R1000" s="375"/>
      <c r="S1000" s="375"/>
      <c r="T1000" s="93"/>
      <c r="U1000" s="11"/>
      <c r="V1000" s="320">
        <v>0</v>
      </c>
      <c r="W1000" s="332" t="str">
        <f>IF(V1000 &gt;= _xlfn.XLOOKUP(F1000,'Min table'!A$3:A$5,'Min table'!B$3:B$5), "Show", "Hide")</f>
        <v>Hide</v>
      </c>
      <c r="X1000" s="317" t="s">
        <v>2693</v>
      </c>
      <c r="Y1000" s="317" t="s">
        <v>1569</v>
      </c>
    </row>
    <row r="1001" spans="3:25" ht="18.75" hidden="1" x14ac:dyDescent="0.3">
      <c r="C1001" s="322"/>
      <c r="D1001" s="9"/>
      <c r="E1001" s="9"/>
      <c r="F1001" s="21" t="s">
        <v>62</v>
      </c>
      <c r="G1001" s="20" t="s">
        <v>1853</v>
      </c>
      <c r="H1001" s="377" t="s">
        <v>1570</v>
      </c>
      <c r="I1001" s="377"/>
      <c r="J1001" s="377" t="s">
        <v>1568</v>
      </c>
      <c r="K1001" s="377"/>
      <c r="L1001" s="1"/>
      <c r="M1001" s="2"/>
      <c r="N1001" s="19">
        <v>18.149999999999999</v>
      </c>
      <c r="O1001" s="22" t="str">
        <f t="shared" si="48"/>
        <v/>
      </c>
      <c r="P1001" s="19" t="s">
        <v>1538</v>
      </c>
      <c r="Q1001" s="375" t="s">
        <v>655</v>
      </c>
      <c r="R1001" s="375"/>
      <c r="S1001" s="375"/>
      <c r="T1001" s="93"/>
      <c r="U1001" s="11"/>
      <c r="V1001" s="320">
        <v>0</v>
      </c>
      <c r="W1001" s="332" t="str">
        <f>IF(V1001 &gt;= _xlfn.XLOOKUP(F1001,'Min table'!A$3:A$5,'Min table'!B$3:B$5), "Show", "Hide")</f>
        <v>Hide</v>
      </c>
      <c r="X1001" s="317" t="s">
        <v>2694</v>
      </c>
      <c r="Y1001" s="317" t="s">
        <v>1571</v>
      </c>
    </row>
    <row r="1002" spans="3:25" ht="18.75" hidden="1" x14ac:dyDescent="0.3">
      <c r="C1002" s="322"/>
      <c r="D1002" s="9"/>
      <c r="E1002" s="9"/>
      <c r="F1002" s="21" t="s">
        <v>62</v>
      </c>
      <c r="G1002" s="20" t="s">
        <v>942</v>
      </c>
      <c r="H1002" s="377" t="s">
        <v>1572</v>
      </c>
      <c r="I1002" s="377"/>
      <c r="J1002" s="377" t="s">
        <v>1573</v>
      </c>
      <c r="K1002" s="377"/>
      <c r="L1002" s="1"/>
      <c r="M1002" s="2"/>
      <c r="N1002" s="19">
        <v>17</v>
      </c>
      <c r="O1002" s="22" t="str">
        <f t="shared" si="48"/>
        <v/>
      </c>
      <c r="P1002" s="19" t="s">
        <v>600</v>
      </c>
      <c r="Q1002" s="375" t="s">
        <v>655</v>
      </c>
      <c r="R1002" s="375"/>
      <c r="S1002" s="375"/>
      <c r="T1002" s="93"/>
      <c r="U1002" s="11"/>
      <c r="V1002" s="320">
        <v>0</v>
      </c>
      <c r="W1002" s="332" t="str">
        <f>IF(V1002 &gt;= _xlfn.XLOOKUP(F1002,'Min table'!A$3:A$5,'Min table'!B$3:B$5), "Show", "Hide")</f>
        <v>Hide</v>
      </c>
      <c r="X1002" s="317" t="s">
        <v>2695</v>
      </c>
      <c r="Y1002" s="317" t="s">
        <v>1842</v>
      </c>
    </row>
    <row r="1003" spans="3:25" ht="18.75" hidden="1" x14ac:dyDescent="0.3">
      <c r="C1003" s="322"/>
      <c r="D1003" s="9"/>
      <c r="E1003" s="9"/>
      <c r="F1003" s="21" t="s">
        <v>62</v>
      </c>
      <c r="G1003" s="20" t="s">
        <v>942</v>
      </c>
      <c r="H1003" s="377" t="s">
        <v>1574</v>
      </c>
      <c r="I1003" s="377"/>
      <c r="J1003" s="377" t="s">
        <v>1575</v>
      </c>
      <c r="K1003" s="377"/>
      <c r="L1003" s="1"/>
      <c r="M1003" s="2"/>
      <c r="N1003" s="19">
        <v>24</v>
      </c>
      <c r="O1003" s="22" t="str">
        <f t="shared" si="48"/>
        <v/>
      </c>
      <c r="P1003" s="19" t="s">
        <v>1576</v>
      </c>
      <c r="Q1003" s="375" t="s">
        <v>1519</v>
      </c>
      <c r="R1003" s="375"/>
      <c r="S1003" s="375"/>
      <c r="T1003" s="93"/>
      <c r="U1003" s="11"/>
      <c r="V1003" s="320">
        <v>0</v>
      </c>
      <c r="W1003" s="332" t="str">
        <f>IF(V1003 &gt;= _xlfn.XLOOKUP(F1003,'Min table'!A$3:A$5,'Min table'!B$3:B$5), "Show", "Hide")</f>
        <v>Hide</v>
      </c>
      <c r="X1003" s="317" t="s">
        <v>2696</v>
      </c>
      <c r="Y1003" s="317" t="s">
        <v>1577</v>
      </c>
    </row>
    <row r="1004" spans="3:25" ht="18.75" hidden="1" x14ac:dyDescent="0.3">
      <c r="C1004" s="322"/>
      <c r="D1004" s="9"/>
      <c r="E1004" s="9"/>
      <c r="F1004" s="21" t="s">
        <v>62</v>
      </c>
      <c r="G1004" s="20" t="s">
        <v>991</v>
      </c>
      <c r="H1004" s="377" t="s">
        <v>1578</v>
      </c>
      <c r="I1004" s="377"/>
      <c r="J1004" s="377" t="s">
        <v>1579</v>
      </c>
      <c r="K1004" s="377"/>
      <c r="L1004" s="1"/>
      <c r="M1004" s="2"/>
      <c r="N1004" s="19">
        <v>30</v>
      </c>
      <c r="O1004" s="22" t="str">
        <f t="shared" si="48"/>
        <v/>
      </c>
      <c r="P1004" s="19" t="s">
        <v>389</v>
      </c>
      <c r="Q1004" s="375" t="s">
        <v>66</v>
      </c>
      <c r="R1004" s="375"/>
      <c r="S1004" s="375"/>
      <c r="T1004" s="93"/>
      <c r="U1004" s="11"/>
      <c r="V1004" s="320">
        <v>0</v>
      </c>
      <c r="W1004" s="332" t="str">
        <f>IF(V1004 &gt;= _xlfn.XLOOKUP(F1004,'Min table'!A$3:A$5,'Min table'!B$3:B$5), "Show", "Hide")</f>
        <v>Hide</v>
      </c>
      <c r="X1004" s="317" t="s">
        <v>2697</v>
      </c>
      <c r="Y1004" s="317" t="s">
        <v>1580</v>
      </c>
    </row>
    <row r="1005" spans="3:25" ht="18.75" hidden="1" x14ac:dyDescent="0.3">
      <c r="C1005" s="322"/>
      <c r="D1005" s="9"/>
      <c r="E1005" s="9"/>
      <c r="F1005" s="21" t="s">
        <v>62</v>
      </c>
      <c r="G1005" s="20" t="s">
        <v>945</v>
      </c>
      <c r="H1005" s="377" t="s">
        <v>1581</v>
      </c>
      <c r="I1005" s="377"/>
      <c r="J1005" s="377" t="s">
        <v>1582</v>
      </c>
      <c r="K1005" s="377"/>
      <c r="L1005" s="1"/>
      <c r="M1005" s="2"/>
      <c r="N1005" s="19">
        <v>20</v>
      </c>
      <c r="O1005" s="22" t="str">
        <f t="shared" si="48"/>
        <v/>
      </c>
      <c r="P1005" s="19" t="s">
        <v>1421</v>
      </c>
      <c r="Q1005" s="375" t="s">
        <v>566</v>
      </c>
      <c r="R1005" s="375"/>
      <c r="S1005" s="375"/>
      <c r="T1005" s="93"/>
      <c r="U1005" s="11"/>
      <c r="V1005" s="320">
        <v>0</v>
      </c>
      <c r="W1005" s="332" t="str">
        <f>IF(V1005 &gt;= _xlfn.XLOOKUP(F1005,'Min table'!A$3:A$5,'Min table'!B$3:B$5), "Show", "Hide")</f>
        <v>Hide</v>
      </c>
      <c r="X1005" s="317" t="s">
        <v>2698</v>
      </c>
      <c r="Y1005" s="317" t="s">
        <v>1581</v>
      </c>
    </row>
    <row r="1006" spans="3:25" ht="18.75" hidden="1" x14ac:dyDescent="0.3">
      <c r="C1006" s="322"/>
      <c r="D1006" s="9"/>
      <c r="E1006" s="9"/>
      <c r="F1006" s="21" t="s">
        <v>62</v>
      </c>
      <c r="G1006" s="20" t="s">
        <v>991</v>
      </c>
      <c r="H1006" s="377" t="s">
        <v>1583</v>
      </c>
      <c r="I1006" s="377"/>
      <c r="J1006" s="377" t="s">
        <v>1584</v>
      </c>
      <c r="K1006" s="377"/>
      <c r="L1006" s="1"/>
      <c r="M1006" s="2"/>
      <c r="N1006" s="19">
        <v>30</v>
      </c>
      <c r="O1006" s="22" t="str">
        <f t="shared" si="48"/>
        <v/>
      </c>
      <c r="P1006" s="19" t="s">
        <v>1479</v>
      </c>
      <c r="Q1006" s="375" t="s">
        <v>66</v>
      </c>
      <c r="R1006" s="375"/>
      <c r="S1006" s="375"/>
      <c r="T1006" s="93"/>
      <c r="U1006" s="11"/>
      <c r="V1006" s="320">
        <v>0</v>
      </c>
      <c r="W1006" s="332" t="str">
        <f>IF(V1006 &gt;= _xlfn.XLOOKUP(F1006,'Min table'!A$3:A$5,'Min table'!B$3:B$5), "Show", "Hide")</f>
        <v>Hide</v>
      </c>
      <c r="X1006" s="317" t="s">
        <v>2699</v>
      </c>
      <c r="Y1006" s="317" t="s">
        <v>1585</v>
      </c>
    </row>
    <row r="1007" spans="3:25" ht="18.75" hidden="1" x14ac:dyDescent="0.3">
      <c r="C1007" s="322"/>
      <c r="D1007" s="9"/>
      <c r="E1007" s="9"/>
      <c r="F1007" s="21" t="s">
        <v>62</v>
      </c>
      <c r="G1007" s="20" t="s">
        <v>945</v>
      </c>
      <c r="H1007" s="377" t="s">
        <v>1586</v>
      </c>
      <c r="I1007" s="377"/>
      <c r="J1007" s="377" t="s">
        <v>1587</v>
      </c>
      <c r="K1007" s="377"/>
      <c r="L1007" s="1"/>
      <c r="M1007" s="2"/>
      <c r="N1007" s="19">
        <v>13</v>
      </c>
      <c r="O1007" s="22" t="str">
        <f t="shared" si="48"/>
        <v/>
      </c>
      <c r="P1007" s="19" t="s">
        <v>600</v>
      </c>
      <c r="Q1007" s="375" t="s">
        <v>566</v>
      </c>
      <c r="R1007" s="375"/>
      <c r="S1007" s="375"/>
      <c r="T1007" s="93"/>
      <c r="U1007" s="11"/>
      <c r="V1007" s="320">
        <v>0</v>
      </c>
      <c r="W1007" s="332" t="str">
        <f>IF(V1007 &gt;= _xlfn.XLOOKUP(F1007,'Min table'!A$3:A$5,'Min table'!B$3:B$5), "Show", "Hide")</f>
        <v>Hide</v>
      </c>
      <c r="X1007" s="317" t="s">
        <v>2700</v>
      </c>
      <c r="Y1007" s="317" t="s">
        <v>1588</v>
      </c>
    </row>
    <row r="1008" spans="3:25" ht="18.75" hidden="1" x14ac:dyDescent="0.3">
      <c r="C1008" s="322"/>
      <c r="D1008" s="9"/>
      <c r="E1008" s="9"/>
      <c r="F1008" s="21" t="s">
        <v>62</v>
      </c>
      <c r="G1008" s="20" t="s">
        <v>1853</v>
      </c>
      <c r="H1008" s="377" t="s">
        <v>2278</v>
      </c>
      <c r="I1008" s="377"/>
      <c r="J1008" s="377"/>
      <c r="K1008" s="377"/>
      <c r="L1008" s="1"/>
      <c r="M1008" s="2"/>
      <c r="N1008" s="19">
        <v>18.149999999999999</v>
      </c>
      <c r="O1008" s="22" t="str">
        <f t="shared" si="48"/>
        <v/>
      </c>
      <c r="P1008" s="19" t="s">
        <v>1862</v>
      </c>
      <c r="Q1008" s="375" t="s">
        <v>655</v>
      </c>
      <c r="R1008" s="375"/>
      <c r="S1008" s="375"/>
      <c r="T1008" s="93"/>
      <c r="U1008" s="11"/>
      <c r="V1008" s="320">
        <v>5</v>
      </c>
      <c r="W1008" s="332" t="str">
        <f>IF(V1008 &gt;= _xlfn.XLOOKUP(F1008,'Min table'!A$3:A$5,'Min table'!B$3:B$5), "Show", "Hide")</f>
        <v>Hide</v>
      </c>
      <c r="X1008" s="317" t="s">
        <v>2701</v>
      </c>
    </row>
    <row r="1009" spans="3:25" ht="18.75" hidden="1" x14ac:dyDescent="0.3">
      <c r="C1009" s="322"/>
      <c r="D1009" s="9"/>
      <c r="E1009" s="9"/>
      <c r="F1009" s="21" t="s">
        <v>62</v>
      </c>
      <c r="G1009" s="20" t="s">
        <v>1852</v>
      </c>
      <c r="H1009" s="377" t="s">
        <v>2280</v>
      </c>
      <c r="I1009" s="377"/>
      <c r="J1009" s="377"/>
      <c r="K1009" s="377"/>
      <c r="L1009" s="1"/>
      <c r="M1009" s="2"/>
      <c r="N1009" s="19">
        <v>22.15</v>
      </c>
      <c r="O1009" s="22" t="str">
        <f t="shared" si="48"/>
        <v/>
      </c>
      <c r="P1009" s="19" t="s">
        <v>1862</v>
      </c>
      <c r="Q1009" s="375" t="s">
        <v>1519</v>
      </c>
      <c r="R1009" s="375"/>
      <c r="S1009" s="375"/>
      <c r="T1009" s="93"/>
      <c r="U1009" s="11"/>
      <c r="V1009" s="320">
        <v>1</v>
      </c>
      <c r="W1009" s="332" t="str">
        <f>IF(V1009 &gt;= _xlfn.XLOOKUP(F1009,'Min table'!A$3:A$5,'Min table'!B$3:B$5), "Show", "Hide")</f>
        <v>Hide</v>
      </c>
      <c r="X1009" s="317" t="s">
        <v>2702</v>
      </c>
    </row>
    <row r="1010" spans="3:25" ht="18.75" hidden="1" x14ac:dyDescent="0.3">
      <c r="C1010" s="322"/>
      <c r="D1010" s="9"/>
      <c r="E1010" s="9"/>
      <c r="F1010" s="21" t="s">
        <v>62</v>
      </c>
      <c r="G1010" s="20" t="s">
        <v>942</v>
      </c>
      <c r="H1010" s="377" t="s">
        <v>1589</v>
      </c>
      <c r="I1010" s="377"/>
      <c r="J1010" s="377" t="s">
        <v>1590</v>
      </c>
      <c r="K1010" s="377"/>
      <c r="L1010" s="1"/>
      <c r="M1010" s="2"/>
      <c r="N1010" s="19">
        <v>17</v>
      </c>
      <c r="O1010" s="22" t="str">
        <f t="shared" si="48"/>
        <v/>
      </c>
      <c r="P1010" s="19" t="s">
        <v>389</v>
      </c>
      <c r="Q1010" s="375" t="s">
        <v>655</v>
      </c>
      <c r="R1010" s="375"/>
      <c r="S1010" s="375"/>
      <c r="T1010" s="93"/>
      <c r="U1010" s="11"/>
      <c r="V1010" s="320">
        <v>0</v>
      </c>
      <c r="W1010" s="332" t="str">
        <f>IF(V1010 &gt;= _xlfn.XLOOKUP(F1010,'Min table'!A$3:A$5,'Min table'!B$3:B$5), "Show", "Hide")</f>
        <v>Hide</v>
      </c>
      <c r="X1010" s="317" t="s">
        <v>2703</v>
      </c>
      <c r="Y1010" s="317" t="s">
        <v>1591</v>
      </c>
    </row>
    <row r="1011" spans="3:25" ht="18.75" hidden="1" x14ac:dyDescent="0.3">
      <c r="C1011" s="322"/>
      <c r="D1011" s="9"/>
      <c r="E1011" s="9"/>
      <c r="F1011" s="21" t="s">
        <v>62</v>
      </c>
      <c r="G1011" s="20" t="s">
        <v>1728</v>
      </c>
      <c r="H1011" s="377" t="s">
        <v>1312</v>
      </c>
      <c r="I1011" s="377"/>
      <c r="J1011" s="377" t="s">
        <v>1592</v>
      </c>
      <c r="K1011" s="377"/>
      <c r="L1011" s="1"/>
      <c r="M1011" s="2"/>
      <c r="N1011" s="19"/>
      <c r="O1011" s="22" t="str">
        <f t="shared" si="48"/>
        <v/>
      </c>
      <c r="P1011" s="19" t="s">
        <v>389</v>
      </c>
      <c r="Q1011" s="375" t="s">
        <v>72</v>
      </c>
      <c r="R1011" s="375"/>
      <c r="S1011" s="375"/>
      <c r="T1011" s="93"/>
      <c r="U1011" s="11"/>
      <c r="V1011" s="320">
        <v>0</v>
      </c>
      <c r="W1011" s="332" t="str">
        <f>IF(V1011 &gt;= _xlfn.XLOOKUP(F1011,'Min table'!A$3:A$5,'Min table'!B$3:B$5), "Show", "Hide")</f>
        <v>Hide</v>
      </c>
      <c r="X1011" s="317" t="s">
        <v>2704</v>
      </c>
      <c r="Y1011" s="317" t="s">
        <v>1593</v>
      </c>
    </row>
    <row r="1012" spans="3:25" ht="18.75" hidden="1" x14ac:dyDescent="0.3">
      <c r="C1012" s="322"/>
      <c r="D1012" s="9"/>
      <c r="E1012" s="9"/>
      <c r="F1012" s="21" t="s">
        <v>62</v>
      </c>
      <c r="G1012" s="20" t="s">
        <v>942</v>
      </c>
      <c r="H1012" s="377" t="s">
        <v>1594</v>
      </c>
      <c r="I1012" s="377"/>
      <c r="J1012" s="377" t="s">
        <v>1595</v>
      </c>
      <c r="K1012" s="377"/>
      <c r="L1012" s="1"/>
      <c r="M1012" s="2"/>
      <c r="N1012" s="19">
        <v>24</v>
      </c>
      <c r="O1012" s="22" t="str">
        <f t="shared" si="48"/>
        <v/>
      </c>
      <c r="P1012" s="19" t="s">
        <v>1421</v>
      </c>
      <c r="Q1012" s="375" t="s">
        <v>1519</v>
      </c>
      <c r="R1012" s="375"/>
      <c r="S1012" s="375"/>
      <c r="T1012" s="93"/>
      <c r="U1012" s="11"/>
      <c r="V1012" s="320">
        <v>0</v>
      </c>
      <c r="W1012" s="332" t="str">
        <f>IF(V1012 &gt;= _xlfn.XLOOKUP(F1012,'Min table'!A$3:A$5,'Min table'!B$3:B$5), "Show", "Hide")</f>
        <v>Hide</v>
      </c>
      <c r="X1012" s="317" t="s">
        <v>2705</v>
      </c>
      <c r="Y1012" s="317" t="s">
        <v>1843</v>
      </c>
    </row>
    <row r="1013" spans="3:25" ht="18.75" hidden="1" x14ac:dyDescent="0.3">
      <c r="C1013" s="322"/>
      <c r="D1013" s="9"/>
      <c r="E1013" s="9"/>
      <c r="F1013" s="21" t="s">
        <v>62</v>
      </c>
      <c r="G1013" s="20" t="s">
        <v>945</v>
      </c>
      <c r="H1013" s="399" t="s">
        <v>1596</v>
      </c>
      <c r="I1013" s="399"/>
      <c r="J1013" s="399"/>
      <c r="K1013" s="399"/>
      <c r="L1013" s="1"/>
      <c r="M1013" s="2"/>
      <c r="N1013" s="19">
        <v>17</v>
      </c>
      <c r="O1013" s="22" t="str">
        <f t="shared" ref="O1013:O1052" si="51">IF(AND(L1013="",M1013=""),"",(L1013*N1013)+(M1013*(N1013+3.47)))</f>
        <v/>
      </c>
      <c r="P1013" s="19" t="s">
        <v>1597</v>
      </c>
      <c r="Q1013" s="375" t="s">
        <v>655</v>
      </c>
      <c r="R1013" s="375"/>
      <c r="S1013" s="375"/>
      <c r="T1013" s="93"/>
      <c r="U1013" s="11"/>
      <c r="V1013" s="320">
        <v>3</v>
      </c>
      <c r="W1013" s="332" t="str">
        <f>IF(V1013 &gt;= _xlfn.XLOOKUP(F1013,'Min table'!A$3:A$5,'Min table'!B$3:B$5), "Show", "Hide")</f>
        <v>Hide</v>
      </c>
      <c r="X1013" s="317" t="s">
        <v>2706</v>
      </c>
      <c r="Y1013" s="317" t="s">
        <v>1598</v>
      </c>
    </row>
    <row r="1014" spans="3:25" ht="18.75" hidden="1" x14ac:dyDescent="0.3">
      <c r="C1014" s="322"/>
      <c r="D1014" s="9"/>
      <c r="E1014" s="9"/>
      <c r="F1014" s="21" t="s">
        <v>62</v>
      </c>
      <c r="G1014" s="20" t="s">
        <v>942</v>
      </c>
      <c r="H1014" s="377" t="s">
        <v>1599</v>
      </c>
      <c r="I1014" s="377"/>
      <c r="J1014" s="377" t="s">
        <v>1600</v>
      </c>
      <c r="K1014" s="377"/>
      <c r="L1014" s="1"/>
      <c r="M1014" s="2"/>
      <c r="N1014" s="19">
        <v>17</v>
      </c>
      <c r="O1014" s="22" t="str">
        <f t="shared" si="51"/>
        <v/>
      </c>
      <c r="P1014" s="19" t="s">
        <v>245</v>
      </c>
      <c r="Q1014" s="375" t="s">
        <v>655</v>
      </c>
      <c r="R1014" s="375"/>
      <c r="S1014" s="375"/>
      <c r="T1014" s="93"/>
      <c r="U1014" s="11"/>
      <c r="V1014" s="320">
        <v>0</v>
      </c>
      <c r="W1014" s="332" t="str">
        <f>IF(V1014 &gt;= _xlfn.XLOOKUP(F1014,'Min table'!A$3:A$5,'Min table'!B$3:B$5), "Show", "Hide")</f>
        <v>Hide</v>
      </c>
      <c r="X1014" s="317" t="s">
        <v>2707</v>
      </c>
      <c r="Y1014" s="317" t="s">
        <v>1601</v>
      </c>
    </row>
    <row r="1015" spans="3:25" ht="18.75" hidden="1" x14ac:dyDescent="0.3">
      <c r="C1015" s="322"/>
      <c r="D1015" s="9"/>
      <c r="E1015" s="9"/>
      <c r="F1015" s="21" t="s">
        <v>62</v>
      </c>
      <c r="G1015" s="20" t="s">
        <v>945</v>
      </c>
      <c r="H1015" s="377" t="s">
        <v>1602</v>
      </c>
      <c r="I1015" s="377"/>
      <c r="J1015" s="377" t="s">
        <v>1603</v>
      </c>
      <c r="K1015" s="377"/>
      <c r="L1015" s="1"/>
      <c r="M1015" s="2"/>
      <c r="N1015" s="19">
        <v>20</v>
      </c>
      <c r="O1015" s="22" t="str">
        <f t="shared" si="51"/>
        <v/>
      </c>
      <c r="P1015" s="19" t="s">
        <v>1421</v>
      </c>
      <c r="Q1015" s="375" t="s">
        <v>655</v>
      </c>
      <c r="R1015" s="375"/>
      <c r="S1015" s="375"/>
      <c r="T1015" s="93"/>
      <c r="U1015" s="11"/>
      <c r="V1015" s="320">
        <v>0</v>
      </c>
      <c r="W1015" s="332" t="str">
        <f>IF(V1015 &gt;= _xlfn.XLOOKUP(F1015,'Min table'!A$3:A$5,'Min table'!B$3:B$5), "Show", "Hide")</f>
        <v>Hide</v>
      </c>
      <c r="X1015" s="317" t="s">
        <v>2708</v>
      </c>
      <c r="Y1015" s="317" t="s">
        <v>1604</v>
      </c>
    </row>
    <row r="1016" spans="3:25" ht="18.75" hidden="1" x14ac:dyDescent="0.3">
      <c r="C1016" s="322"/>
      <c r="D1016" s="9"/>
      <c r="E1016" s="9"/>
      <c r="F1016" s="21" t="s">
        <v>62</v>
      </c>
      <c r="G1016" s="20" t="s">
        <v>945</v>
      </c>
      <c r="H1016" s="377" t="s">
        <v>1605</v>
      </c>
      <c r="I1016" s="377"/>
      <c r="J1016" s="377" t="s">
        <v>1606</v>
      </c>
      <c r="K1016" s="377"/>
      <c r="L1016" s="1"/>
      <c r="M1016" s="2"/>
      <c r="N1016" s="19">
        <v>13</v>
      </c>
      <c r="O1016" s="22" t="str">
        <f t="shared" si="51"/>
        <v/>
      </c>
      <c r="P1016" s="19" t="s">
        <v>1453</v>
      </c>
      <c r="Q1016" s="375" t="s">
        <v>566</v>
      </c>
      <c r="R1016" s="375"/>
      <c r="S1016" s="375"/>
      <c r="T1016" s="93"/>
      <c r="U1016" s="11"/>
      <c r="V1016" s="320">
        <v>0</v>
      </c>
      <c r="W1016" s="332" t="str">
        <f>IF(V1016 &gt;= _xlfn.XLOOKUP(F1016,'Min table'!A$3:A$5,'Min table'!B$3:B$5), "Show", "Hide")</f>
        <v>Hide</v>
      </c>
      <c r="X1016" s="317" t="s">
        <v>2709</v>
      </c>
      <c r="Y1016" s="317" t="s">
        <v>1607</v>
      </c>
    </row>
    <row r="1017" spans="3:25" ht="18.75" hidden="1" x14ac:dyDescent="0.3">
      <c r="C1017" s="322"/>
      <c r="D1017" s="9"/>
      <c r="E1017" s="9"/>
      <c r="F1017" s="21" t="s">
        <v>62</v>
      </c>
      <c r="G1017" s="20" t="s">
        <v>945</v>
      </c>
      <c r="H1017" s="377" t="s">
        <v>1608</v>
      </c>
      <c r="I1017" s="377"/>
      <c r="J1017" s="377" t="s">
        <v>1609</v>
      </c>
      <c r="K1017" s="377"/>
      <c r="L1017" s="1"/>
      <c r="M1017" s="2"/>
      <c r="N1017" s="19">
        <v>20</v>
      </c>
      <c r="O1017" s="22" t="str">
        <f t="shared" si="51"/>
        <v/>
      </c>
      <c r="P1017" s="19" t="s">
        <v>1435</v>
      </c>
      <c r="Q1017" s="375" t="s">
        <v>655</v>
      </c>
      <c r="R1017" s="375"/>
      <c r="S1017" s="375"/>
      <c r="T1017" s="93"/>
      <c r="U1017" s="11"/>
      <c r="V1017" s="320">
        <v>0</v>
      </c>
      <c r="W1017" s="332" t="str">
        <f>IF(V1017 &gt;= _xlfn.XLOOKUP(F1017,'Min table'!A$3:A$5,'Min table'!B$3:B$5), "Show", "Hide")</f>
        <v>Hide</v>
      </c>
      <c r="X1017" s="317" t="s">
        <v>2710</v>
      </c>
      <c r="Y1017" s="317" t="s">
        <v>1610</v>
      </c>
    </row>
    <row r="1018" spans="3:25" ht="18.75" hidden="1" x14ac:dyDescent="0.3">
      <c r="C1018" s="322"/>
      <c r="D1018" s="9"/>
      <c r="E1018" s="9"/>
      <c r="F1018" s="21" t="s">
        <v>62</v>
      </c>
      <c r="G1018" s="20" t="s">
        <v>945</v>
      </c>
      <c r="H1018" s="377" t="s">
        <v>1611</v>
      </c>
      <c r="I1018" s="377"/>
      <c r="J1018" s="377" t="s">
        <v>1612</v>
      </c>
      <c r="K1018" s="377"/>
      <c r="L1018" s="1"/>
      <c r="M1018" s="2"/>
      <c r="N1018" s="19">
        <v>13</v>
      </c>
      <c r="O1018" s="22" t="str">
        <f t="shared" si="51"/>
        <v/>
      </c>
      <c r="P1018" s="19" t="s">
        <v>245</v>
      </c>
      <c r="Q1018" s="375" t="s">
        <v>566</v>
      </c>
      <c r="R1018" s="375"/>
      <c r="S1018" s="375"/>
      <c r="T1018" s="93"/>
      <c r="U1018" s="11"/>
      <c r="V1018" s="320">
        <v>0</v>
      </c>
      <c r="W1018" s="332" t="str">
        <f>IF(V1018 &gt;= _xlfn.XLOOKUP(F1018,'Min table'!A$3:A$5,'Min table'!B$3:B$5), "Show", "Hide")</f>
        <v>Hide</v>
      </c>
      <c r="X1018" s="317" t="s">
        <v>2711</v>
      </c>
      <c r="Y1018" s="317" t="s">
        <v>1613</v>
      </c>
    </row>
    <row r="1019" spans="3:25" ht="18.75" hidden="1" x14ac:dyDescent="0.3">
      <c r="C1019" s="322"/>
      <c r="D1019" s="9"/>
      <c r="E1019" s="9"/>
      <c r="F1019" s="21" t="s">
        <v>62</v>
      </c>
      <c r="G1019" s="20" t="s">
        <v>991</v>
      </c>
      <c r="H1019" s="377" t="s">
        <v>1614</v>
      </c>
      <c r="I1019" s="377"/>
      <c r="J1019" s="377" t="s">
        <v>1615</v>
      </c>
      <c r="K1019" s="377"/>
      <c r="L1019" s="1"/>
      <c r="M1019" s="2"/>
      <c r="N1019" s="19">
        <v>30</v>
      </c>
      <c r="O1019" s="22" t="str">
        <f t="shared" si="51"/>
        <v/>
      </c>
      <c r="P1019" s="19" t="s">
        <v>600</v>
      </c>
      <c r="Q1019" s="375" t="s">
        <v>66</v>
      </c>
      <c r="R1019" s="375"/>
      <c r="S1019" s="375"/>
      <c r="T1019" s="93"/>
      <c r="U1019" s="11"/>
      <c r="V1019" s="320">
        <v>0</v>
      </c>
      <c r="W1019" s="332" t="str">
        <f>IF(V1019 &gt;= _xlfn.XLOOKUP(F1019,'Min table'!A$3:A$5,'Min table'!B$3:B$5), "Show", "Hide")</f>
        <v>Hide</v>
      </c>
      <c r="X1019" s="317" t="s">
        <v>2712</v>
      </c>
      <c r="Y1019" s="317" t="s">
        <v>1844</v>
      </c>
    </row>
    <row r="1020" spans="3:25" ht="18.75" hidden="1" x14ac:dyDescent="0.3">
      <c r="C1020" s="322"/>
      <c r="D1020" s="9"/>
      <c r="E1020" s="9"/>
      <c r="F1020" s="21" t="s">
        <v>62</v>
      </c>
      <c r="G1020" s="20" t="s">
        <v>945</v>
      </c>
      <c r="H1020" s="377" t="s">
        <v>1319</v>
      </c>
      <c r="I1020" s="377"/>
      <c r="J1020" s="377" t="s">
        <v>1616</v>
      </c>
      <c r="K1020" s="377"/>
      <c r="L1020" s="1"/>
      <c r="M1020" s="2"/>
      <c r="N1020" s="19">
        <v>13</v>
      </c>
      <c r="O1020" s="22" t="str">
        <f t="shared" si="51"/>
        <v/>
      </c>
      <c r="P1020" s="19" t="s">
        <v>245</v>
      </c>
      <c r="Q1020" s="375" t="s">
        <v>566</v>
      </c>
      <c r="R1020" s="375"/>
      <c r="S1020" s="375"/>
      <c r="T1020" s="93"/>
      <c r="U1020" s="11"/>
      <c r="V1020" s="320">
        <v>0</v>
      </c>
      <c r="W1020" s="332" t="str">
        <f>IF(V1020 &gt;= _xlfn.XLOOKUP(F1020,'Min table'!A$3:A$5,'Min table'!B$3:B$5), "Show", "Hide")</f>
        <v>Hide</v>
      </c>
      <c r="X1020" s="317" t="s">
        <v>2505</v>
      </c>
      <c r="Y1020" s="317" t="s">
        <v>1617</v>
      </c>
    </row>
    <row r="1021" spans="3:25" ht="18.75" hidden="1" x14ac:dyDescent="0.3">
      <c r="C1021" s="322"/>
      <c r="D1021" s="9"/>
      <c r="E1021" s="9"/>
      <c r="F1021" s="21" t="s">
        <v>62</v>
      </c>
      <c r="G1021" s="20" t="s">
        <v>991</v>
      </c>
      <c r="H1021" s="377" t="s">
        <v>1618</v>
      </c>
      <c r="I1021" s="377"/>
      <c r="J1021" s="377" t="s">
        <v>1619</v>
      </c>
      <c r="K1021" s="377"/>
      <c r="L1021" s="1"/>
      <c r="M1021" s="2"/>
      <c r="N1021" s="19">
        <v>30</v>
      </c>
      <c r="O1021" s="22" t="str">
        <f t="shared" si="51"/>
        <v/>
      </c>
      <c r="P1021" s="19" t="s">
        <v>389</v>
      </c>
      <c r="Q1021" s="375" t="s">
        <v>66</v>
      </c>
      <c r="R1021" s="375"/>
      <c r="S1021" s="375"/>
      <c r="T1021" s="93"/>
      <c r="U1021" s="11"/>
      <c r="V1021" s="320">
        <v>0</v>
      </c>
      <c r="W1021" s="332" t="str">
        <f>IF(V1021 &gt;= _xlfn.XLOOKUP(F1021,'Min table'!A$3:A$5,'Min table'!B$3:B$5), "Show", "Hide")</f>
        <v>Hide</v>
      </c>
      <c r="X1021" s="317" t="s">
        <v>2713</v>
      </c>
      <c r="Y1021" s="317" t="s">
        <v>1620</v>
      </c>
    </row>
    <row r="1022" spans="3:25" ht="18.75" hidden="1" x14ac:dyDescent="0.3">
      <c r="C1022" s="322"/>
      <c r="D1022" s="9"/>
      <c r="E1022" s="9"/>
      <c r="F1022" s="21" t="s">
        <v>62</v>
      </c>
      <c r="G1022" s="20" t="s">
        <v>945</v>
      </c>
      <c r="H1022" s="377" t="s">
        <v>1621</v>
      </c>
      <c r="I1022" s="377"/>
      <c r="J1022" s="377" t="s">
        <v>1622</v>
      </c>
      <c r="K1022" s="377"/>
      <c r="L1022" s="1"/>
      <c r="M1022" s="2"/>
      <c r="N1022" s="19">
        <v>13</v>
      </c>
      <c r="O1022" s="22" t="str">
        <f t="shared" si="51"/>
        <v/>
      </c>
      <c r="P1022" s="19" t="s">
        <v>600</v>
      </c>
      <c r="Q1022" s="375" t="s">
        <v>566</v>
      </c>
      <c r="R1022" s="375"/>
      <c r="S1022" s="375"/>
      <c r="T1022" s="93"/>
      <c r="U1022" s="11"/>
      <c r="V1022" s="320">
        <v>0</v>
      </c>
      <c r="W1022" s="332" t="str">
        <f>IF(V1022 &gt;= _xlfn.XLOOKUP(F1022,'Min table'!A$3:A$5,'Min table'!B$3:B$5), "Show", "Hide")</f>
        <v>Hide</v>
      </c>
      <c r="X1022" s="317" t="s">
        <v>2714</v>
      </c>
      <c r="Y1022" s="317" t="s">
        <v>1845</v>
      </c>
    </row>
    <row r="1023" spans="3:25" ht="18.75" hidden="1" x14ac:dyDescent="0.3">
      <c r="C1023" s="322"/>
      <c r="D1023" s="9"/>
      <c r="E1023" s="9"/>
      <c r="F1023" s="21" t="s">
        <v>62</v>
      </c>
      <c r="G1023" s="20" t="s">
        <v>945</v>
      </c>
      <c r="H1023" s="377" t="s">
        <v>1623</v>
      </c>
      <c r="I1023" s="377"/>
      <c r="J1023" s="377" t="s">
        <v>1624</v>
      </c>
      <c r="K1023" s="377"/>
      <c r="L1023" s="1"/>
      <c r="M1023" s="2"/>
      <c r="N1023" s="19">
        <v>13</v>
      </c>
      <c r="O1023" s="22" t="str">
        <f t="shared" si="51"/>
        <v/>
      </c>
      <c r="P1023" s="19" t="s">
        <v>1421</v>
      </c>
      <c r="Q1023" s="375" t="s">
        <v>566</v>
      </c>
      <c r="R1023" s="375"/>
      <c r="S1023" s="375"/>
      <c r="T1023" s="93"/>
      <c r="U1023" s="11"/>
      <c r="V1023" s="320">
        <v>1</v>
      </c>
      <c r="W1023" s="332" t="str">
        <f>IF(V1023 &gt;= _xlfn.XLOOKUP(F1023,'Min table'!A$3:A$5,'Min table'!B$3:B$5), "Show", "Hide")</f>
        <v>Hide</v>
      </c>
      <c r="X1023" s="317" t="s">
        <v>2715</v>
      </c>
      <c r="Y1023" s="317" t="s">
        <v>1625</v>
      </c>
    </row>
    <row r="1024" spans="3:25" ht="18.75" hidden="1" x14ac:dyDescent="0.3">
      <c r="C1024" s="322"/>
      <c r="D1024" s="9"/>
      <c r="E1024" s="9"/>
      <c r="F1024" s="21" t="s">
        <v>62</v>
      </c>
      <c r="G1024" s="20" t="s">
        <v>945</v>
      </c>
      <c r="H1024" s="377" t="s">
        <v>1626</v>
      </c>
      <c r="I1024" s="377"/>
      <c r="J1024" s="377" t="s">
        <v>1627</v>
      </c>
      <c r="K1024" s="377"/>
      <c r="L1024" s="1"/>
      <c r="M1024" s="2"/>
      <c r="N1024" s="19">
        <v>20</v>
      </c>
      <c r="O1024" s="22" t="str">
        <f t="shared" si="51"/>
        <v/>
      </c>
      <c r="P1024" s="19" t="s">
        <v>1421</v>
      </c>
      <c r="Q1024" s="375" t="s">
        <v>655</v>
      </c>
      <c r="R1024" s="375"/>
      <c r="S1024" s="375"/>
      <c r="T1024" s="93"/>
      <c r="U1024" s="11"/>
      <c r="V1024" s="320">
        <v>0</v>
      </c>
      <c r="W1024" s="332" t="str">
        <f>IF(V1024 &gt;= _xlfn.XLOOKUP(F1024,'Min table'!A$3:A$5,'Min table'!B$3:B$5), "Show", "Hide")</f>
        <v>Hide</v>
      </c>
      <c r="X1024" s="317" t="s">
        <v>2716</v>
      </c>
      <c r="Y1024" s="317" t="s">
        <v>1628</v>
      </c>
    </row>
    <row r="1025" spans="3:25" ht="18.75" hidden="1" x14ac:dyDescent="0.3">
      <c r="C1025" s="322"/>
      <c r="D1025" s="9"/>
      <c r="E1025" s="9"/>
      <c r="F1025" s="21" t="s">
        <v>62</v>
      </c>
      <c r="G1025" s="20" t="s">
        <v>1853</v>
      </c>
      <c r="H1025" s="517" t="s">
        <v>2581</v>
      </c>
      <c r="I1025" s="377"/>
      <c r="J1025" s="377" t="s">
        <v>1627</v>
      </c>
      <c r="K1025" s="377"/>
      <c r="L1025" s="1"/>
      <c r="M1025" s="2"/>
      <c r="N1025" s="19">
        <v>18.149999999999999</v>
      </c>
      <c r="O1025" s="22" t="str">
        <f t="shared" si="51"/>
        <v/>
      </c>
      <c r="P1025" s="19" t="s">
        <v>2250</v>
      </c>
      <c r="Q1025" s="375" t="s">
        <v>655</v>
      </c>
      <c r="R1025" s="375"/>
      <c r="S1025" s="375"/>
      <c r="T1025" s="93"/>
      <c r="U1025" s="11"/>
      <c r="V1025" s="320">
        <v>0</v>
      </c>
      <c r="W1025" s="332" t="str">
        <f>IF(V1025 &gt;= _xlfn.XLOOKUP(F1025,'Min table'!A$3:A$5,'Min table'!B$3:B$5), "Show", "Hide")</f>
        <v>Hide</v>
      </c>
      <c r="X1025" s="317" t="s">
        <v>2717</v>
      </c>
    </row>
    <row r="1026" spans="3:25" ht="18.75" hidden="1" x14ac:dyDescent="0.3">
      <c r="C1026" s="322"/>
      <c r="D1026" s="9"/>
      <c r="E1026" s="9"/>
      <c r="F1026" s="21" t="s">
        <v>62</v>
      </c>
      <c r="G1026" s="20" t="s">
        <v>991</v>
      </c>
      <c r="H1026" s="377" t="s">
        <v>1629</v>
      </c>
      <c r="I1026" s="377"/>
      <c r="J1026" s="377" t="s">
        <v>1630</v>
      </c>
      <c r="K1026" s="377"/>
      <c r="L1026" s="1"/>
      <c r="M1026" s="2"/>
      <c r="N1026" s="19">
        <v>37</v>
      </c>
      <c r="O1026" s="22" t="str">
        <f t="shared" si="51"/>
        <v/>
      </c>
      <c r="P1026" s="19" t="s">
        <v>1421</v>
      </c>
      <c r="Q1026" s="375" t="s">
        <v>66</v>
      </c>
      <c r="R1026" s="375"/>
      <c r="S1026" s="375"/>
      <c r="T1026" s="93"/>
      <c r="U1026" s="11"/>
      <c r="V1026" s="320">
        <v>0</v>
      </c>
      <c r="W1026" s="332" t="str">
        <f>IF(V1026 &gt;= _xlfn.XLOOKUP(F1026,'Min table'!A$3:A$5,'Min table'!B$3:B$5), "Show", "Hide")</f>
        <v>Hide</v>
      </c>
      <c r="X1026" s="317" t="s">
        <v>2718</v>
      </c>
      <c r="Y1026" s="317" t="s">
        <v>1631</v>
      </c>
    </row>
    <row r="1027" spans="3:25" ht="18.75" hidden="1" x14ac:dyDescent="0.3">
      <c r="C1027" s="322"/>
      <c r="D1027" s="9"/>
      <c r="E1027" s="9"/>
      <c r="F1027" s="21" t="s">
        <v>62</v>
      </c>
      <c r="G1027" s="20" t="s">
        <v>945</v>
      </c>
      <c r="H1027" s="377" t="s">
        <v>1632</v>
      </c>
      <c r="I1027" s="377"/>
      <c r="J1027" s="377" t="s">
        <v>1633</v>
      </c>
      <c r="K1027" s="377"/>
      <c r="L1027" s="1"/>
      <c r="M1027" s="2"/>
      <c r="N1027" s="19">
        <v>20</v>
      </c>
      <c r="O1027" s="22" t="str">
        <f t="shared" si="51"/>
        <v/>
      </c>
      <c r="P1027" s="19" t="s">
        <v>1421</v>
      </c>
      <c r="Q1027" s="375" t="s">
        <v>655</v>
      </c>
      <c r="R1027" s="375"/>
      <c r="S1027" s="375"/>
      <c r="T1027" s="93"/>
      <c r="U1027" s="11"/>
      <c r="V1027" s="320">
        <v>0</v>
      </c>
      <c r="W1027" s="332" t="str">
        <f>IF(V1027 &gt;= _xlfn.XLOOKUP(F1027,'Min table'!A$3:A$5,'Min table'!B$3:B$5), "Show", "Hide")</f>
        <v>Hide</v>
      </c>
      <c r="X1027" s="317" t="s">
        <v>2719</v>
      </c>
      <c r="Y1027" s="317" t="s">
        <v>1634</v>
      </c>
    </row>
    <row r="1028" spans="3:25" ht="18.75" hidden="1" x14ac:dyDescent="0.3">
      <c r="C1028" s="322"/>
      <c r="D1028" s="9"/>
      <c r="E1028" s="9"/>
      <c r="F1028" s="21" t="s">
        <v>62</v>
      </c>
      <c r="G1028" s="20" t="s">
        <v>945</v>
      </c>
      <c r="H1028" s="377" t="s">
        <v>1327</v>
      </c>
      <c r="I1028" s="377"/>
      <c r="J1028" s="377" t="s">
        <v>1635</v>
      </c>
      <c r="K1028" s="377"/>
      <c r="L1028" s="1"/>
      <c r="M1028" s="2"/>
      <c r="N1028" s="19">
        <v>13</v>
      </c>
      <c r="O1028" s="22" t="str">
        <f t="shared" si="51"/>
        <v/>
      </c>
      <c r="P1028" s="19" t="s">
        <v>71</v>
      </c>
      <c r="Q1028" s="375" t="s">
        <v>566</v>
      </c>
      <c r="R1028" s="375"/>
      <c r="S1028" s="375"/>
      <c r="T1028" s="93"/>
      <c r="U1028" s="11"/>
      <c r="V1028" s="320">
        <v>0</v>
      </c>
      <c r="W1028" s="332" t="str">
        <f>IF(V1028 &gt;= _xlfn.XLOOKUP(F1028,'Min table'!A$3:A$5,'Min table'!B$3:B$5), "Show", "Hide")</f>
        <v>Hide</v>
      </c>
      <c r="X1028" s="317" t="s">
        <v>2720</v>
      </c>
      <c r="Y1028" s="317" t="s">
        <v>1636</v>
      </c>
    </row>
    <row r="1029" spans="3:25" ht="18.75" hidden="1" x14ac:dyDescent="0.3">
      <c r="C1029" s="322"/>
      <c r="D1029" s="9"/>
      <c r="E1029" s="9"/>
      <c r="F1029" s="21" t="s">
        <v>62</v>
      </c>
      <c r="G1029" s="20" t="s">
        <v>945</v>
      </c>
      <c r="H1029" s="377" t="s">
        <v>1637</v>
      </c>
      <c r="I1029" s="377"/>
      <c r="J1029" s="377" t="s">
        <v>1638</v>
      </c>
      <c r="K1029" s="377"/>
      <c r="L1029" s="1"/>
      <c r="M1029" s="2"/>
      <c r="N1029" s="19">
        <v>13</v>
      </c>
      <c r="O1029" s="22" t="str">
        <f t="shared" si="51"/>
        <v/>
      </c>
      <c r="P1029" s="19" t="s">
        <v>1421</v>
      </c>
      <c r="Q1029" s="375" t="s">
        <v>566</v>
      </c>
      <c r="R1029" s="375"/>
      <c r="S1029" s="375"/>
      <c r="T1029" s="93"/>
      <c r="U1029" s="11"/>
      <c r="V1029" s="320">
        <v>0</v>
      </c>
      <c r="W1029" s="332" t="str">
        <f>IF(V1029 &gt;= _xlfn.XLOOKUP(F1029,'Min table'!A$3:A$5,'Min table'!B$3:B$5), "Show", "Hide")</f>
        <v>Hide</v>
      </c>
      <c r="X1029" s="317" t="s">
        <v>2721</v>
      </c>
      <c r="Y1029" s="317" t="s">
        <v>1639</v>
      </c>
    </row>
    <row r="1030" spans="3:25" ht="18.75" hidden="1" x14ac:dyDescent="0.3">
      <c r="C1030" s="322"/>
      <c r="D1030" s="9"/>
      <c r="E1030" s="9"/>
      <c r="F1030" s="21" t="s">
        <v>62</v>
      </c>
      <c r="G1030" s="20" t="s">
        <v>1437</v>
      </c>
      <c r="H1030" s="377" t="s">
        <v>1640</v>
      </c>
      <c r="I1030" s="377"/>
      <c r="J1030" s="377" t="s">
        <v>1641</v>
      </c>
      <c r="K1030" s="377"/>
      <c r="L1030" s="1"/>
      <c r="M1030" s="2"/>
      <c r="N1030" s="19">
        <v>17</v>
      </c>
      <c r="O1030" s="22" t="str">
        <f t="shared" si="51"/>
        <v/>
      </c>
      <c r="P1030" s="19" t="s">
        <v>1642</v>
      </c>
      <c r="Q1030" s="375" t="s">
        <v>655</v>
      </c>
      <c r="R1030" s="375"/>
      <c r="S1030" s="375"/>
      <c r="T1030" s="93"/>
      <c r="U1030" s="11"/>
      <c r="V1030" s="320">
        <v>0</v>
      </c>
      <c r="W1030" s="332" t="str">
        <f>IF(V1030 &gt;= _xlfn.XLOOKUP(F1030,'Min table'!A$3:A$5,'Min table'!B$3:B$5), "Show", "Hide")</f>
        <v>Hide</v>
      </c>
      <c r="X1030" s="317" t="s">
        <v>2722</v>
      </c>
      <c r="Y1030" s="317" t="s">
        <v>1643</v>
      </c>
    </row>
    <row r="1031" spans="3:25" ht="18.75" hidden="1" x14ac:dyDescent="0.3">
      <c r="C1031" s="322"/>
      <c r="D1031" s="9"/>
      <c r="E1031" s="9"/>
      <c r="F1031" s="21" t="s">
        <v>62</v>
      </c>
      <c r="G1031" s="20" t="s">
        <v>1852</v>
      </c>
      <c r="H1031" s="377" t="s">
        <v>2279</v>
      </c>
      <c r="I1031" s="377"/>
      <c r="J1031" s="377"/>
      <c r="K1031" s="377"/>
      <c r="L1031" s="1"/>
      <c r="M1031" s="2"/>
      <c r="N1031" s="19">
        <v>22.15</v>
      </c>
      <c r="O1031" s="22" t="str">
        <f t="shared" si="51"/>
        <v/>
      </c>
      <c r="P1031" s="19" t="s">
        <v>1862</v>
      </c>
      <c r="Q1031" s="375" t="s">
        <v>1519</v>
      </c>
      <c r="R1031" s="375"/>
      <c r="S1031" s="375"/>
      <c r="T1031" s="93"/>
      <c r="U1031" s="11"/>
      <c r="V1031" s="320">
        <v>0</v>
      </c>
      <c r="W1031" s="332" t="str">
        <f>IF(V1031 &gt;= _xlfn.XLOOKUP(F1031,'Min table'!A$3:A$5,'Min table'!B$3:B$5), "Show", "Hide")</f>
        <v>Hide</v>
      </c>
      <c r="X1031" s="317" t="s">
        <v>2723</v>
      </c>
    </row>
    <row r="1032" spans="3:25" ht="18.75" hidden="1" x14ac:dyDescent="0.3">
      <c r="C1032" s="322"/>
      <c r="D1032" s="9"/>
      <c r="E1032" s="9"/>
      <c r="F1032" s="21" t="s">
        <v>62</v>
      </c>
      <c r="G1032" s="20" t="s">
        <v>942</v>
      </c>
      <c r="H1032" s="377" t="s">
        <v>1644</v>
      </c>
      <c r="I1032" s="377"/>
      <c r="J1032" s="377" t="s">
        <v>1645</v>
      </c>
      <c r="K1032" s="377"/>
      <c r="L1032" s="1"/>
      <c r="M1032" s="2"/>
      <c r="N1032" s="19">
        <v>17</v>
      </c>
      <c r="O1032" s="22" t="str">
        <f t="shared" si="51"/>
        <v/>
      </c>
      <c r="P1032" s="19" t="s">
        <v>600</v>
      </c>
      <c r="Q1032" s="375" t="s">
        <v>655</v>
      </c>
      <c r="R1032" s="375"/>
      <c r="S1032" s="375"/>
      <c r="T1032" s="93"/>
      <c r="U1032" s="11"/>
      <c r="V1032" s="320">
        <v>-1</v>
      </c>
      <c r="W1032" s="332" t="str">
        <f>IF(V1032 &gt;= _xlfn.XLOOKUP(F1032,'Min table'!A$3:A$5,'Min table'!B$3:B$5), "Show", "Hide")</f>
        <v>Hide</v>
      </c>
      <c r="X1032" s="317" t="s">
        <v>2724</v>
      </c>
      <c r="Y1032" s="317" t="s">
        <v>1846</v>
      </c>
    </row>
    <row r="1033" spans="3:25" ht="18.75" hidden="1" x14ac:dyDescent="0.3">
      <c r="C1033" s="322"/>
      <c r="D1033" s="9"/>
      <c r="E1033" s="9"/>
      <c r="F1033" s="21" t="s">
        <v>62</v>
      </c>
      <c r="G1033" s="20" t="s">
        <v>942</v>
      </c>
      <c r="H1033" s="377" t="s">
        <v>1646</v>
      </c>
      <c r="I1033" s="377"/>
      <c r="J1033" s="377" t="s">
        <v>1647</v>
      </c>
      <c r="K1033" s="377"/>
      <c r="L1033" s="1"/>
      <c r="M1033" s="2"/>
      <c r="N1033" s="19">
        <v>17</v>
      </c>
      <c r="O1033" s="22" t="str">
        <f t="shared" si="51"/>
        <v/>
      </c>
      <c r="P1033" s="19" t="s">
        <v>389</v>
      </c>
      <c r="Q1033" s="375" t="s">
        <v>655</v>
      </c>
      <c r="R1033" s="375"/>
      <c r="S1033" s="375"/>
      <c r="T1033" s="93"/>
      <c r="U1033" s="11"/>
      <c r="V1033" s="320">
        <v>0</v>
      </c>
      <c r="W1033" s="332" t="str">
        <f>IF(V1033 &gt;= _xlfn.XLOOKUP(F1033,'Min table'!A$3:A$5,'Min table'!B$3:B$5), "Show", "Hide")</f>
        <v>Hide</v>
      </c>
      <c r="X1033" s="317" t="s">
        <v>2725</v>
      </c>
      <c r="Y1033" s="317" t="s">
        <v>1648</v>
      </c>
    </row>
    <row r="1034" spans="3:25" ht="18.75" hidden="1" x14ac:dyDescent="0.3">
      <c r="C1034" s="322"/>
      <c r="D1034" s="9"/>
      <c r="E1034" s="9"/>
      <c r="F1034" s="21" t="s">
        <v>62</v>
      </c>
      <c r="G1034" s="20" t="s">
        <v>945</v>
      </c>
      <c r="H1034" s="517" t="s">
        <v>2580</v>
      </c>
      <c r="I1034" s="377"/>
      <c r="J1034" s="377" t="s">
        <v>1647</v>
      </c>
      <c r="K1034" s="377"/>
      <c r="L1034" s="1"/>
      <c r="M1034" s="2"/>
      <c r="N1034" s="19">
        <v>13</v>
      </c>
      <c r="O1034" s="22" t="str">
        <f t="shared" si="51"/>
        <v/>
      </c>
      <c r="P1034" s="19" t="s">
        <v>65</v>
      </c>
      <c r="Q1034" s="375" t="s">
        <v>566</v>
      </c>
      <c r="R1034" s="375"/>
      <c r="S1034" s="375"/>
      <c r="T1034" s="93"/>
      <c r="U1034" s="11"/>
      <c r="V1034" s="320">
        <v>3</v>
      </c>
      <c r="W1034" s="332" t="str">
        <f>IF(V1034 &gt;= _xlfn.XLOOKUP(F1034,'Min table'!A$3:A$5,'Min table'!B$3:B$5), "Show", "Hide")</f>
        <v>Hide</v>
      </c>
      <c r="X1034" s="317" t="s">
        <v>2726</v>
      </c>
    </row>
    <row r="1035" spans="3:25" ht="18.75" hidden="1" x14ac:dyDescent="0.3">
      <c r="C1035" s="322"/>
      <c r="D1035" s="9"/>
      <c r="E1035" s="9"/>
      <c r="F1035" s="21" t="s">
        <v>62</v>
      </c>
      <c r="G1035" s="20" t="s">
        <v>1853</v>
      </c>
      <c r="H1035" s="377" t="s">
        <v>1649</v>
      </c>
      <c r="I1035" s="377"/>
      <c r="J1035" s="377" t="s">
        <v>1650</v>
      </c>
      <c r="K1035" s="377"/>
      <c r="L1035" s="1"/>
      <c r="M1035" s="2"/>
      <c r="N1035" s="19">
        <v>16.5</v>
      </c>
      <c r="O1035" s="22" t="str">
        <f t="shared" si="51"/>
        <v/>
      </c>
      <c r="P1035" s="19" t="s">
        <v>389</v>
      </c>
      <c r="Q1035" s="375" t="s">
        <v>655</v>
      </c>
      <c r="R1035" s="375"/>
      <c r="S1035" s="375"/>
      <c r="T1035" s="93"/>
      <c r="U1035" s="11"/>
      <c r="V1035" s="320">
        <v>0</v>
      </c>
      <c r="W1035" s="332" t="str">
        <f>IF(V1035 &gt;= _xlfn.XLOOKUP(F1035,'Min table'!A$3:A$5,'Min table'!B$3:B$5), "Show", "Hide")</f>
        <v>Hide</v>
      </c>
      <c r="X1035" s="317" t="s">
        <v>2727</v>
      </c>
      <c r="Y1035" s="317" t="s">
        <v>1651</v>
      </c>
    </row>
    <row r="1036" spans="3:25" ht="18.75" hidden="1" x14ac:dyDescent="0.3">
      <c r="C1036" s="322"/>
      <c r="D1036" s="9"/>
      <c r="E1036" s="9"/>
      <c r="F1036" s="21" t="s">
        <v>62</v>
      </c>
      <c r="G1036" s="20" t="s">
        <v>1853</v>
      </c>
      <c r="H1036" s="377" t="s">
        <v>1652</v>
      </c>
      <c r="I1036" s="377"/>
      <c r="J1036" s="377" t="s">
        <v>1650</v>
      </c>
      <c r="K1036" s="377"/>
      <c r="L1036" s="1"/>
      <c r="M1036" s="2"/>
      <c r="N1036" s="19">
        <v>18.149999999999999</v>
      </c>
      <c r="O1036" s="22" t="str">
        <f t="shared" si="51"/>
        <v/>
      </c>
      <c r="P1036" s="19" t="s">
        <v>1538</v>
      </c>
      <c r="Q1036" s="375" t="s">
        <v>655</v>
      </c>
      <c r="R1036" s="375"/>
      <c r="S1036" s="375"/>
      <c r="T1036" s="93"/>
      <c r="U1036" s="11"/>
      <c r="V1036" s="320">
        <v>-1</v>
      </c>
      <c r="W1036" s="332" t="str">
        <f>IF(V1036 &gt;= _xlfn.XLOOKUP(F1036,'Min table'!A$3:A$5,'Min table'!B$3:B$5), "Show", "Hide")</f>
        <v>Hide</v>
      </c>
      <c r="X1036" s="317" t="s">
        <v>2728</v>
      </c>
      <c r="Y1036" s="317" t="s">
        <v>1653</v>
      </c>
    </row>
    <row r="1037" spans="3:25" ht="18.75" hidden="1" x14ac:dyDescent="0.3">
      <c r="C1037" s="322"/>
      <c r="D1037" s="9"/>
      <c r="E1037" s="9"/>
      <c r="F1037" s="21" t="s">
        <v>62</v>
      </c>
      <c r="G1037" s="20" t="s">
        <v>945</v>
      </c>
      <c r="H1037" s="377" t="s">
        <v>1654</v>
      </c>
      <c r="I1037" s="377"/>
      <c r="J1037" s="377" t="s">
        <v>1655</v>
      </c>
      <c r="K1037" s="377"/>
      <c r="L1037" s="1"/>
      <c r="M1037" s="2"/>
      <c r="N1037" s="19">
        <v>13</v>
      </c>
      <c r="O1037" s="22" t="str">
        <f t="shared" si="51"/>
        <v/>
      </c>
      <c r="P1037" s="19" t="s">
        <v>1656</v>
      </c>
      <c r="Q1037" s="375" t="s">
        <v>566</v>
      </c>
      <c r="R1037" s="375"/>
      <c r="S1037" s="375"/>
      <c r="T1037" s="106"/>
      <c r="U1037" s="11"/>
      <c r="V1037" s="320">
        <v>0</v>
      </c>
      <c r="W1037" s="332" t="str">
        <f>IF(V1037 &gt;= _xlfn.XLOOKUP(F1037,'Min table'!A$3:A$5,'Min table'!B$3:B$5), "Show", "Hide")</f>
        <v>Hide</v>
      </c>
      <c r="X1037" s="317" t="s">
        <v>2729</v>
      </c>
      <c r="Y1037" s="317" t="s">
        <v>1657</v>
      </c>
    </row>
    <row r="1038" spans="3:25" ht="18.75" hidden="1" x14ac:dyDescent="0.3">
      <c r="C1038" s="322"/>
      <c r="D1038" s="9"/>
      <c r="E1038" s="9"/>
      <c r="F1038" s="21" t="s">
        <v>62</v>
      </c>
      <c r="G1038" s="20" t="s">
        <v>945</v>
      </c>
      <c r="H1038" s="377" t="s">
        <v>1658</v>
      </c>
      <c r="I1038" s="377"/>
      <c r="J1038" s="377" t="s">
        <v>1659</v>
      </c>
      <c r="K1038" s="377"/>
      <c r="L1038" s="1"/>
      <c r="M1038" s="2"/>
      <c r="N1038" s="19">
        <v>13</v>
      </c>
      <c r="O1038" s="22" t="str">
        <f t="shared" si="51"/>
        <v/>
      </c>
      <c r="P1038" s="19" t="s">
        <v>1660</v>
      </c>
      <c r="Q1038" s="375" t="s">
        <v>566</v>
      </c>
      <c r="R1038" s="375"/>
      <c r="S1038" s="375"/>
      <c r="T1038" s="93"/>
      <c r="U1038" s="11"/>
      <c r="V1038" s="320">
        <v>0</v>
      </c>
      <c r="W1038" s="332" t="str">
        <f>IF(V1038 &gt;= _xlfn.XLOOKUP(F1038,'Min table'!A$3:A$5,'Min table'!B$3:B$5), "Show", "Hide")</f>
        <v>Hide</v>
      </c>
      <c r="X1038" s="317" t="s">
        <v>2730</v>
      </c>
      <c r="Y1038" s="317" t="s">
        <v>1661</v>
      </c>
    </row>
    <row r="1039" spans="3:25" ht="18.75" hidden="1" x14ac:dyDescent="0.3">
      <c r="C1039" s="322"/>
      <c r="D1039" s="9"/>
      <c r="E1039" s="9"/>
      <c r="F1039" s="21" t="s">
        <v>62</v>
      </c>
      <c r="G1039" s="20" t="s">
        <v>945</v>
      </c>
      <c r="H1039" s="377" t="s">
        <v>1662</v>
      </c>
      <c r="I1039" s="377"/>
      <c r="J1039" s="377" t="s">
        <v>1655</v>
      </c>
      <c r="K1039" s="377"/>
      <c r="L1039" s="1"/>
      <c r="M1039" s="2"/>
      <c r="N1039" s="19">
        <v>13</v>
      </c>
      <c r="O1039" s="22" t="str">
        <f t="shared" si="51"/>
        <v/>
      </c>
      <c r="P1039" s="19" t="s">
        <v>1549</v>
      </c>
      <c r="Q1039" s="375" t="s">
        <v>566</v>
      </c>
      <c r="R1039" s="375"/>
      <c r="S1039" s="375"/>
      <c r="T1039" s="93"/>
      <c r="U1039" s="11"/>
      <c r="V1039" s="320">
        <v>0</v>
      </c>
      <c r="W1039" s="332" t="str">
        <f>IF(V1039 &gt;= _xlfn.XLOOKUP(F1039,'Min table'!A$3:A$5,'Min table'!B$3:B$5), "Show", "Hide")</f>
        <v>Hide</v>
      </c>
      <c r="X1039" s="317" t="s">
        <v>2731</v>
      </c>
      <c r="Y1039" s="317" t="s">
        <v>1847</v>
      </c>
    </row>
    <row r="1040" spans="3:25" ht="18.75" hidden="1" x14ac:dyDescent="0.3">
      <c r="C1040" s="322"/>
      <c r="D1040" s="9"/>
      <c r="E1040" s="9"/>
      <c r="F1040" s="21" t="s">
        <v>62</v>
      </c>
      <c r="G1040" s="20" t="s">
        <v>945</v>
      </c>
      <c r="H1040" s="377" t="s">
        <v>1663</v>
      </c>
      <c r="I1040" s="377"/>
      <c r="J1040" s="377" t="s">
        <v>1664</v>
      </c>
      <c r="K1040" s="377"/>
      <c r="L1040" s="1"/>
      <c r="M1040" s="2"/>
      <c r="N1040" s="19">
        <v>13</v>
      </c>
      <c r="O1040" s="22" t="str">
        <f t="shared" si="51"/>
        <v/>
      </c>
      <c r="P1040" s="19" t="s">
        <v>1049</v>
      </c>
      <c r="Q1040" s="375" t="s">
        <v>566</v>
      </c>
      <c r="R1040" s="375"/>
      <c r="S1040" s="375"/>
      <c r="T1040" s="93"/>
      <c r="U1040" s="11"/>
      <c r="V1040" s="320">
        <v>0</v>
      </c>
      <c r="W1040" s="332" t="str">
        <f>IF(V1040 &gt;= _xlfn.XLOOKUP(F1040,'Min table'!A$3:A$5,'Min table'!B$3:B$5), "Show", "Hide")</f>
        <v>Hide</v>
      </c>
      <c r="X1040" s="317" t="s">
        <v>2732</v>
      </c>
      <c r="Y1040" s="317" t="s">
        <v>1665</v>
      </c>
    </row>
    <row r="1041" spans="3:25" ht="18.75" hidden="1" x14ac:dyDescent="0.3">
      <c r="C1041" s="322"/>
      <c r="D1041" s="9"/>
      <c r="E1041" s="9"/>
      <c r="F1041" s="21" t="s">
        <v>62</v>
      </c>
      <c r="G1041" s="20" t="s">
        <v>942</v>
      </c>
      <c r="H1041" s="377" t="s">
        <v>1666</v>
      </c>
      <c r="I1041" s="377"/>
      <c r="J1041" s="377" t="s">
        <v>1667</v>
      </c>
      <c r="K1041" s="377"/>
      <c r="L1041" s="1"/>
      <c r="M1041" s="2"/>
      <c r="N1041" s="19">
        <v>17</v>
      </c>
      <c r="O1041" s="22" t="str">
        <f t="shared" si="51"/>
        <v/>
      </c>
      <c r="P1041" s="19" t="s">
        <v>65</v>
      </c>
      <c r="Q1041" s="375" t="s">
        <v>655</v>
      </c>
      <c r="R1041" s="375"/>
      <c r="S1041" s="375"/>
      <c r="T1041" s="93"/>
      <c r="U1041" s="11"/>
      <c r="V1041" s="320">
        <v>0</v>
      </c>
      <c r="W1041" s="332" t="str">
        <f>IF(V1041 &gt;= _xlfn.XLOOKUP(F1041,'Min table'!A$3:A$5,'Min table'!B$3:B$5), "Show", "Hide")</f>
        <v>Hide</v>
      </c>
      <c r="X1041" s="317" t="s">
        <v>2733</v>
      </c>
      <c r="Y1041" s="317" t="s">
        <v>1668</v>
      </c>
    </row>
    <row r="1042" spans="3:25" ht="18.75" hidden="1" x14ac:dyDescent="0.3">
      <c r="C1042" s="322"/>
      <c r="D1042" s="9"/>
      <c r="E1042" s="9"/>
      <c r="F1042" s="21" t="s">
        <v>62</v>
      </c>
      <c r="G1042" s="20" t="s">
        <v>942</v>
      </c>
      <c r="H1042" s="377" t="s">
        <v>1669</v>
      </c>
      <c r="I1042" s="377"/>
      <c r="J1042" s="377" t="s">
        <v>1670</v>
      </c>
      <c r="K1042" s="377"/>
      <c r="L1042" s="1"/>
      <c r="M1042" s="2"/>
      <c r="N1042" s="19">
        <v>17</v>
      </c>
      <c r="O1042" s="22" t="str">
        <f t="shared" si="51"/>
        <v/>
      </c>
      <c r="P1042" s="19" t="s">
        <v>1479</v>
      </c>
      <c r="Q1042" s="375" t="s">
        <v>655</v>
      </c>
      <c r="R1042" s="375"/>
      <c r="S1042" s="375"/>
      <c r="T1042" s="93"/>
      <c r="U1042" s="11"/>
      <c r="V1042" s="320">
        <v>0</v>
      </c>
      <c r="W1042" s="332" t="str">
        <f>IF(V1042 &gt;= _xlfn.XLOOKUP(F1042,'Min table'!A$3:A$5,'Min table'!B$3:B$5), "Show", "Hide")</f>
        <v>Hide</v>
      </c>
      <c r="X1042" s="317" t="s">
        <v>2734</v>
      </c>
      <c r="Y1042" s="317" t="s">
        <v>1671</v>
      </c>
    </row>
    <row r="1043" spans="3:25" ht="18.75" hidden="1" x14ac:dyDescent="0.3">
      <c r="C1043" s="322"/>
      <c r="D1043" s="9"/>
      <c r="E1043" s="9"/>
      <c r="F1043" s="21" t="s">
        <v>62</v>
      </c>
      <c r="G1043" s="20" t="s">
        <v>991</v>
      </c>
      <c r="H1043" s="377" t="s">
        <v>1672</v>
      </c>
      <c r="I1043" s="377"/>
      <c r="J1043" s="377" t="s">
        <v>1673</v>
      </c>
      <c r="K1043" s="377"/>
      <c r="L1043" s="1"/>
      <c r="M1043" s="2"/>
      <c r="N1043" s="19">
        <v>37</v>
      </c>
      <c r="O1043" s="22" t="str">
        <f t="shared" si="51"/>
        <v/>
      </c>
      <c r="P1043" s="19" t="s">
        <v>1435</v>
      </c>
      <c r="Q1043" s="375" t="s">
        <v>66</v>
      </c>
      <c r="R1043" s="375"/>
      <c r="S1043" s="375"/>
      <c r="T1043" s="93"/>
      <c r="U1043" s="11"/>
      <c r="V1043" s="320">
        <v>0</v>
      </c>
      <c r="W1043" s="332" t="str">
        <f>IF(V1043 &gt;= _xlfn.XLOOKUP(F1043,'Min table'!A$3:A$5,'Min table'!B$3:B$5), "Show", "Hide")</f>
        <v>Hide</v>
      </c>
      <c r="X1043" s="317" t="s">
        <v>2735</v>
      </c>
      <c r="Y1043" s="317" t="s">
        <v>1674</v>
      </c>
    </row>
    <row r="1044" spans="3:25" ht="18.75" hidden="1" x14ac:dyDescent="0.3">
      <c r="C1044" s="322"/>
      <c r="D1044" s="9"/>
      <c r="E1044" s="9"/>
      <c r="F1044" s="21" t="s">
        <v>62</v>
      </c>
      <c r="G1044" s="20" t="s">
        <v>942</v>
      </c>
      <c r="H1044" s="377" t="s">
        <v>1675</v>
      </c>
      <c r="I1044" s="377"/>
      <c r="J1044" s="377" t="s">
        <v>1676</v>
      </c>
      <c r="K1044" s="377"/>
      <c r="L1044" s="1"/>
      <c r="M1044" s="2"/>
      <c r="N1044" s="19">
        <v>17</v>
      </c>
      <c r="O1044" s="22" t="str">
        <f t="shared" si="51"/>
        <v/>
      </c>
      <c r="P1044" s="19" t="s">
        <v>245</v>
      </c>
      <c r="Q1044" s="375" t="s">
        <v>655</v>
      </c>
      <c r="R1044" s="375"/>
      <c r="S1044" s="375"/>
      <c r="T1044" s="93"/>
      <c r="U1044" s="11"/>
      <c r="V1044" s="320">
        <v>0</v>
      </c>
      <c r="W1044" s="332" t="str">
        <f>IF(V1044 &gt;= _xlfn.XLOOKUP(F1044,'Min table'!A$3:A$5,'Min table'!B$3:B$5), "Show", "Hide")</f>
        <v>Hide</v>
      </c>
      <c r="X1044" s="317" t="s">
        <v>2736</v>
      </c>
      <c r="Y1044" s="317" t="s">
        <v>1677</v>
      </c>
    </row>
    <row r="1045" spans="3:25" ht="18.75" hidden="1" x14ac:dyDescent="0.3">
      <c r="C1045" s="322"/>
      <c r="D1045" s="9"/>
      <c r="E1045" s="9"/>
      <c r="F1045" s="21" t="s">
        <v>62</v>
      </c>
      <c r="G1045" s="20" t="s">
        <v>945</v>
      </c>
      <c r="H1045" s="377" t="s">
        <v>1678</v>
      </c>
      <c r="I1045" s="377"/>
      <c r="J1045" s="377" t="s">
        <v>1679</v>
      </c>
      <c r="K1045" s="377"/>
      <c r="L1045" s="1"/>
      <c r="M1045" s="2"/>
      <c r="N1045" s="19">
        <v>13</v>
      </c>
      <c r="O1045" s="22" t="str">
        <f t="shared" si="51"/>
        <v/>
      </c>
      <c r="P1045" s="19" t="s">
        <v>1680</v>
      </c>
      <c r="Q1045" s="375" t="s">
        <v>566</v>
      </c>
      <c r="R1045" s="375"/>
      <c r="S1045" s="375"/>
      <c r="T1045" s="93"/>
      <c r="U1045" s="11"/>
      <c r="V1045" s="320">
        <v>0</v>
      </c>
      <c r="W1045" s="332" t="str">
        <f>IF(V1045 &gt;= _xlfn.XLOOKUP(F1045,'Min table'!A$3:A$5,'Min table'!B$3:B$5), "Show", "Hide")</f>
        <v>Hide</v>
      </c>
      <c r="X1045" s="317" t="s">
        <v>2737</v>
      </c>
      <c r="Y1045" s="317" t="s">
        <v>1681</v>
      </c>
    </row>
    <row r="1046" spans="3:25" ht="18.75" hidden="1" x14ac:dyDescent="0.3">
      <c r="C1046" s="322"/>
      <c r="D1046" s="9"/>
      <c r="E1046" s="9"/>
      <c r="F1046" s="21" t="s">
        <v>62</v>
      </c>
      <c r="G1046" s="20" t="s">
        <v>942</v>
      </c>
      <c r="H1046" s="377" t="s">
        <v>1352</v>
      </c>
      <c r="I1046" s="377"/>
      <c r="J1046" s="377" t="s">
        <v>1682</v>
      </c>
      <c r="K1046" s="377"/>
      <c r="L1046" s="1"/>
      <c r="M1046" s="2"/>
      <c r="N1046" s="19">
        <v>17</v>
      </c>
      <c r="O1046" s="22" t="str">
        <f t="shared" si="51"/>
        <v/>
      </c>
      <c r="P1046" s="19" t="s">
        <v>600</v>
      </c>
      <c r="Q1046" s="375" t="s">
        <v>655</v>
      </c>
      <c r="R1046" s="375"/>
      <c r="S1046" s="375"/>
      <c r="T1046" s="93"/>
      <c r="U1046" s="11"/>
      <c r="V1046" s="320">
        <v>0</v>
      </c>
      <c r="W1046" s="332" t="str">
        <f>IF(V1046 &gt;= _xlfn.XLOOKUP(F1046,'Min table'!A$3:A$5,'Min table'!B$3:B$5), "Show", "Hide")</f>
        <v>Hide</v>
      </c>
      <c r="X1046" s="317" t="s">
        <v>2525</v>
      </c>
      <c r="Y1046" s="317" t="s">
        <v>1683</v>
      </c>
    </row>
    <row r="1047" spans="3:25" ht="18.75" hidden="1" x14ac:dyDescent="0.3">
      <c r="C1047" s="322"/>
      <c r="D1047" s="9"/>
      <c r="E1047" s="9"/>
      <c r="F1047" s="21" t="s">
        <v>62</v>
      </c>
      <c r="G1047" s="20" t="s">
        <v>945</v>
      </c>
      <c r="H1047" s="377" t="s">
        <v>1359</v>
      </c>
      <c r="I1047" s="377"/>
      <c r="J1047" s="377" t="s">
        <v>1684</v>
      </c>
      <c r="K1047" s="377"/>
      <c r="L1047" s="1"/>
      <c r="M1047" s="2"/>
      <c r="N1047" s="19">
        <v>13</v>
      </c>
      <c r="O1047" s="22" t="str">
        <f t="shared" si="51"/>
        <v/>
      </c>
      <c r="P1047" s="19" t="s">
        <v>1685</v>
      </c>
      <c r="Q1047" s="375" t="s">
        <v>566</v>
      </c>
      <c r="R1047" s="375"/>
      <c r="S1047" s="375"/>
      <c r="T1047" s="93"/>
      <c r="U1047" s="11"/>
      <c r="V1047" s="320">
        <v>0</v>
      </c>
      <c r="W1047" s="332" t="str">
        <f>IF(V1047 &gt;= _xlfn.XLOOKUP(F1047,'Min table'!A$3:A$5,'Min table'!B$3:B$5), "Show", "Hide")</f>
        <v>Hide</v>
      </c>
      <c r="X1047" s="317" t="s">
        <v>2738</v>
      </c>
      <c r="Y1047" s="317" t="s">
        <v>1686</v>
      </c>
    </row>
    <row r="1048" spans="3:25" ht="18.75" hidden="1" x14ac:dyDescent="0.3">
      <c r="C1048" s="322"/>
      <c r="D1048" s="9"/>
      <c r="E1048" s="9"/>
      <c r="F1048" s="21" t="s">
        <v>62</v>
      </c>
      <c r="G1048" s="20" t="s">
        <v>945</v>
      </c>
      <c r="H1048" s="516" t="s">
        <v>2787</v>
      </c>
      <c r="I1048" s="414"/>
      <c r="J1048" s="414" t="s">
        <v>1473</v>
      </c>
      <c r="K1048" s="414"/>
      <c r="L1048" s="1"/>
      <c r="M1048" s="2"/>
      <c r="N1048" s="19">
        <v>13</v>
      </c>
      <c r="O1048" s="22" t="str">
        <f t="shared" si="51"/>
        <v/>
      </c>
      <c r="P1048" s="19" t="s">
        <v>1862</v>
      </c>
      <c r="Q1048" s="375" t="s">
        <v>566</v>
      </c>
      <c r="R1048" s="375"/>
      <c r="S1048" s="375"/>
      <c r="T1048" s="93"/>
      <c r="U1048" s="11"/>
      <c r="V1048" s="320">
        <v>0</v>
      </c>
      <c r="W1048" s="332" t="str">
        <f>IF(V1048 &gt;= _xlfn.XLOOKUP(F1048,'Min table'!A$3:A$5,'Min table'!B$3:B$5), "Show", "Hide")</f>
        <v>Hide</v>
      </c>
    </row>
    <row r="1049" spans="3:25" ht="18.75" hidden="1" x14ac:dyDescent="0.3">
      <c r="C1049" s="322"/>
      <c r="D1049" s="9"/>
      <c r="E1049" s="9"/>
      <c r="F1049" s="21" t="s">
        <v>62</v>
      </c>
      <c r="G1049" s="20" t="s">
        <v>945</v>
      </c>
      <c r="H1049" s="377" t="s">
        <v>1687</v>
      </c>
      <c r="I1049" s="377"/>
      <c r="J1049" s="377" t="s">
        <v>1688</v>
      </c>
      <c r="K1049" s="377"/>
      <c r="L1049" s="1"/>
      <c r="M1049" s="2"/>
      <c r="N1049" s="19">
        <v>13</v>
      </c>
      <c r="O1049" s="22" t="str">
        <f t="shared" si="51"/>
        <v/>
      </c>
      <c r="P1049" s="19" t="s">
        <v>600</v>
      </c>
      <c r="Q1049" s="375" t="s">
        <v>566</v>
      </c>
      <c r="R1049" s="375"/>
      <c r="S1049" s="375"/>
      <c r="T1049" s="93"/>
      <c r="U1049" s="11"/>
      <c r="V1049" s="320">
        <v>0</v>
      </c>
      <c r="W1049" s="332" t="str">
        <f>IF(V1049 &gt;= _xlfn.XLOOKUP(F1049,'Min table'!A$3:A$5,'Min table'!B$3:B$5), "Show", "Hide")</f>
        <v>Hide</v>
      </c>
      <c r="X1049" s="317" t="s">
        <v>2739</v>
      </c>
      <c r="Y1049" s="317" t="s">
        <v>1689</v>
      </c>
    </row>
    <row r="1050" spans="3:25" ht="18.75" hidden="1" x14ac:dyDescent="0.3">
      <c r="C1050" s="322"/>
      <c r="D1050" s="9"/>
      <c r="E1050" s="9"/>
      <c r="F1050" s="21" t="s">
        <v>62</v>
      </c>
      <c r="G1050" s="20" t="s">
        <v>945</v>
      </c>
      <c r="H1050" s="376" t="s">
        <v>1690</v>
      </c>
      <c r="I1050" s="376"/>
      <c r="J1050" s="376" t="s">
        <v>1691</v>
      </c>
      <c r="K1050" s="376"/>
      <c r="L1050" s="1"/>
      <c r="M1050" s="2"/>
      <c r="N1050" s="19">
        <v>13</v>
      </c>
      <c r="O1050" s="22" t="str">
        <f t="shared" si="51"/>
        <v/>
      </c>
      <c r="P1050" s="19" t="s">
        <v>600</v>
      </c>
      <c r="Q1050" s="375" t="s">
        <v>566</v>
      </c>
      <c r="R1050" s="375"/>
      <c r="S1050" s="375"/>
      <c r="T1050" s="93"/>
      <c r="U1050" s="11"/>
      <c r="V1050" s="320">
        <v>12</v>
      </c>
      <c r="W1050" s="372" t="str">
        <f>IF(OR(G1050="Collectors",G1050="Special Pricing",G1050="Boutique",G1050="leafjoy littles",G1050="Premium"),
    IF(V1050&gt;0,"Show","Hide"),
    IF(V1050 &gt;= _xlfn.XLOOKUP(F1050,'Min table'!C$3:C$5,),"Show","Hide")
)</f>
        <v>Show</v>
      </c>
      <c r="X1050" s="317" t="s">
        <v>2740</v>
      </c>
      <c r="Y1050" s="317" t="s">
        <v>1692</v>
      </c>
    </row>
    <row r="1051" spans="3:25" ht="18.75" hidden="1" x14ac:dyDescent="0.3">
      <c r="C1051" s="322"/>
      <c r="D1051" s="9"/>
      <c r="E1051" s="9"/>
      <c r="F1051" s="21" t="s">
        <v>62</v>
      </c>
      <c r="G1051" s="20" t="s">
        <v>945</v>
      </c>
      <c r="H1051" s="377" t="s">
        <v>1717</v>
      </c>
      <c r="I1051" s="377"/>
      <c r="J1051" s="377"/>
      <c r="K1051" s="377"/>
      <c r="L1051" s="1"/>
      <c r="M1051" s="2"/>
      <c r="N1051" s="19">
        <v>13</v>
      </c>
      <c r="O1051" s="22" t="str">
        <f t="shared" si="51"/>
        <v/>
      </c>
      <c r="P1051" s="19" t="s">
        <v>1695</v>
      </c>
      <c r="Q1051" s="375" t="s">
        <v>566</v>
      </c>
      <c r="R1051" s="375"/>
      <c r="S1051" s="375"/>
      <c r="T1051" s="93"/>
      <c r="U1051" s="11"/>
      <c r="V1051" s="320">
        <v>0</v>
      </c>
      <c r="W1051" s="332" t="str">
        <f>IF(V1051 &gt;= _xlfn.XLOOKUP(F1051,'Min table'!A$3:A$5,'Min table'!B$3:B$5), "Show", "Hide")</f>
        <v>Hide</v>
      </c>
      <c r="X1051" s="317" t="s">
        <v>2741</v>
      </c>
      <c r="Y1051" s="317" t="s">
        <v>1848</v>
      </c>
    </row>
    <row r="1052" spans="3:25" ht="18.75" hidden="1" x14ac:dyDescent="0.3">
      <c r="C1052" s="322"/>
      <c r="D1052" s="9"/>
      <c r="E1052" s="9"/>
      <c r="F1052" s="21" t="s">
        <v>62</v>
      </c>
      <c r="G1052" s="20" t="s">
        <v>945</v>
      </c>
      <c r="H1052" s="377" t="s">
        <v>1693</v>
      </c>
      <c r="I1052" s="377"/>
      <c r="J1052" s="377" t="s">
        <v>1694</v>
      </c>
      <c r="K1052" s="377"/>
      <c r="L1052" s="1"/>
      <c r="M1052" s="2"/>
      <c r="N1052" s="19">
        <v>13</v>
      </c>
      <c r="O1052" s="22" t="str">
        <f t="shared" si="51"/>
        <v/>
      </c>
      <c r="P1052" s="19" t="s">
        <v>1695</v>
      </c>
      <c r="Q1052" s="375" t="s">
        <v>566</v>
      </c>
      <c r="R1052" s="375"/>
      <c r="S1052" s="375"/>
      <c r="T1052" s="93"/>
      <c r="U1052" s="11"/>
      <c r="V1052" s="320">
        <v>0</v>
      </c>
      <c r="W1052" s="332" t="str">
        <f>IF(V1052 &gt;= _xlfn.XLOOKUP(F1052,'Min table'!A$3:A$5,'Min table'!B$3:B$5), "Show", "Hide")</f>
        <v>Hide</v>
      </c>
      <c r="X1052" s="317" t="s">
        <v>2742</v>
      </c>
      <c r="Y1052" s="317" t="s">
        <v>1849</v>
      </c>
    </row>
    <row r="1053" spans="3:25" ht="21" x14ac:dyDescent="0.3">
      <c r="C1053" s="322"/>
      <c r="D1053" s="9"/>
      <c r="E1053" s="9"/>
      <c r="F1053" s="288"/>
      <c r="G1053" s="289"/>
      <c r="H1053" s="290"/>
      <c r="I1053" s="290"/>
      <c r="J1053" s="290"/>
      <c r="K1053" s="307" t="s">
        <v>2746</v>
      </c>
      <c r="L1053" s="180">
        <f>SUBTOTAL(9,L930:L1052)/6</f>
        <v>0</v>
      </c>
      <c r="M1053" s="180">
        <f>SUBTOTAL(9,M930:M1052)/6</f>
        <v>0</v>
      </c>
      <c r="N1053" s="292"/>
      <c r="O1053" s="181">
        <f>SUBTOTAL(9,O930:O1052)</f>
        <v>0</v>
      </c>
      <c r="P1053" s="288"/>
      <c r="Q1053" s="290"/>
      <c r="R1053" s="290"/>
      <c r="S1053" s="291"/>
      <c r="T1053" s="109"/>
      <c r="U1053" s="11"/>
    </row>
    <row r="1054" spans="3:25" ht="36" customHeight="1" x14ac:dyDescent="0.35">
      <c r="C1054" s="322"/>
      <c r="D1054" s="9"/>
      <c r="E1054" s="9"/>
      <c r="F1054" s="178"/>
      <c r="G1054" s="179"/>
      <c r="H1054" s="109"/>
      <c r="I1054" s="109"/>
      <c r="J1054" s="178"/>
      <c r="K1054" s="160"/>
      <c r="L1054" s="161"/>
      <c r="M1054" s="161"/>
      <c r="N1054" s="162"/>
      <c r="O1054" s="163"/>
      <c r="P1054" s="109"/>
      <c r="Q1054" s="109"/>
      <c r="R1054" s="109"/>
      <c r="S1054" s="109"/>
      <c r="T1054" s="109"/>
      <c r="U1054" s="11"/>
    </row>
    <row r="1055" spans="3:25" ht="33" customHeight="1" x14ac:dyDescent="0.25">
      <c r="C1055" s="322"/>
      <c r="D1055" s="9"/>
      <c r="E1055" s="9"/>
      <c r="F1055" s="120"/>
      <c r="G1055" s="121"/>
      <c r="H1055" s="120"/>
      <c r="I1055" s="120"/>
      <c r="J1055" s="408"/>
      <c r="K1055" s="408"/>
      <c r="L1055" s="408"/>
      <c r="M1055" s="408"/>
      <c r="N1055" s="408"/>
      <c r="O1055" s="409"/>
      <c r="P1055" s="386" t="s">
        <v>2758</v>
      </c>
      <c r="Q1055" s="387"/>
      <c r="R1055" s="384">
        <f>L1053+M1053+L926+M926+L611+M611+L450+M450+L375+L360+M360+L197+M197+L130+M130+L82+L76+L99+M99+L93+M93</f>
        <v>0</v>
      </c>
      <c r="S1055" s="385"/>
      <c r="T1055" s="110"/>
      <c r="U1055" s="11"/>
    </row>
    <row r="1056" spans="3:25" ht="39.75" customHeight="1" x14ac:dyDescent="0.25">
      <c r="C1056" s="322"/>
      <c r="D1056" s="9"/>
      <c r="E1056" s="9"/>
      <c r="F1056" s="120"/>
      <c r="G1056" s="121"/>
      <c r="H1056" s="120"/>
      <c r="I1056" s="120"/>
      <c r="J1056" s="120"/>
      <c r="K1056" s="16"/>
      <c r="L1056" s="9"/>
      <c r="M1056" s="109"/>
      <c r="N1056" s="109"/>
      <c r="O1056" s="10"/>
      <c r="P1056" s="388" t="s">
        <v>2745</v>
      </c>
      <c r="Q1056" s="389"/>
      <c r="R1056" s="382" t="str">
        <f>IF(R1055&lt;20,
   R1055 &amp; " cases",
   ROUNDUP(R1055/20,0) &amp; " pallets + " &amp; MOD(R1055,20) &amp; " cases")</f>
        <v>0 cases</v>
      </c>
      <c r="S1056" s="383"/>
      <c r="T1056" s="110"/>
      <c r="U1056" s="11"/>
    </row>
    <row r="1057" spans="3:21" ht="33" customHeight="1" x14ac:dyDescent="0.25">
      <c r="C1057" s="322"/>
      <c r="D1057" s="9"/>
      <c r="E1057" s="9"/>
      <c r="F1057" s="120"/>
      <c r="G1057" s="121"/>
      <c r="H1057" s="120"/>
      <c r="I1057" s="120"/>
      <c r="J1057" s="120"/>
      <c r="K1057" s="109"/>
      <c r="L1057" s="109"/>
      <c r="M1057" s="109"/>
      <c r="N1057" s="109"/>
      <c r="O1057" s="10"/>
      <c r="P1057" s="474" t="s">
        <v>1696</v>
      </c>
      <c r="Q1057" s="475"/>
      <c r="R1057" s="478">
        <f>O1053+O926+O611+O450+O375+O360+O197+O130+O99+O82+O76</f>
        <v>0</v>
      </c>
      <c r="S1057" s="479"/>
      <c r="T1057" s="111"/>
      <c r="U1057" s="11"/>
    </row>
    <row r="1058" spans="3:21" ht="25.5" customHeight="1" x14ac:dyDescent="0.25">
      <c r="C1058" s="322"/>
      <c r="D1058" s="9"/>
      <c r="E1058" s="9"/>
      <c r="F1058" s="120"/>
      <c r="G1058" s="121"/>
      <c r="H1058" s="120"/>
      <c r="I1058" s="120"/>
      <c r="J1058" s="120"/>
      <c r="K1058" s="16"/>
      <c r="L1058" s="9"/>
      <c r="M1058" s="109"/>
      <c r="N1058" s="109"/>
      <c r="O1058" s="10"/>
      <c r="P1058" s="476"/>
      <c r="Q1058" s="477"/>
      <c r="R1058" s="480"/>
      <c r="S1058" s="481"/>
      <c r="T1058" s="111"/>
      <c r="U1058" s="11"/>
    </row>
    <row r="1059" spans="3:21" ht="59.25" customHeight="1" thickBot="1" x14ac:dyDescent="0.3">
      <c r="C1059" s="322"/>
      <c r="D1059" s="9"/>
      <c r="E1059" s="9"/>
      <c r="F1059" s="120"/>
      <c r="G1059" s="121"/>
      <c r="H1059" s="120"/>
      <c r="I1059" s="120"/>
      <c r="J1059" s="120"/>
      <c r="K1059" s="109"/>
      <c r="L1059" s="109"/>
      <c r="M1059" s="109"/>
      <c r="N1059" s="109"/>
      <c r="O1059" s="10"/>
      <c r="P1059" s="535" t="s">
        <v>1697</v>
      </c>
      <c r="Q1059" s="536"/>
      <c r="R1059" s="539">
        <f>R1057*0.1</f>
        <v>0</v>
      </c>
      <c r="S1059" s="540"/>
      <c r="T1059" s="112"/>
      <c r="U1059" s="11"/>
    </row>
    <row r="1060" spans="3:21" ht="30" customHeight="1" thickTop="1" x14ac:dyDescent="0.25">
      <c r="C1060" s="322"/>
      <c r="D1060" s="9"/>
      <c r="E1060" s="9"/>
      <c r="F1060" s="120"/>
      <c r="G1060" s="121"/>
      <c r="H1060" s="120"/>
      <c r="I1060" s="120"/>
      <c r="J1060" s="120"/>
      <c r="K1060" s="109"/>
      <c r="L1060" s="109"/>
      <c r="M1060" s="109"/>
      <c r="N1060" s="109"/>
      <c r="O1060" s="10"/>
      <c r="P1060" s="504" t="s">
        <v>1698</v>
      </c>
      <c r="Q1060" s="505"/>
      <c r="R1060" s="505"/>
      <c r="S1060" s="506"/>
      <c r="T1060" s="113"/>
      <c r="U1060" s="11"/>
    </row>
    <row r="1061" spans="3:21" ht="46.5" customHeight="1" x14ac:dyDescent="0.25">
      <c r="C1061" s="322"/>
      <c r="D1061" s="9"/>
      <c r="E1061" s="9"/>
      <c r="F1061" s="120"/>
      <c r="G1061" s="121"/>
      <c r="H1061" s="120"/>
      <c r="I1061" s="120"/>
      <c r="J1061" s="120"/>
      <c r="K1061" s="109"/>
      <c r="L1061" s="109"/>
      <c r="M1061" s="109"/>
      <c r="N1061" s="109"/>
      <c r="O1061" s="10"/>
      <c r="P1061" s="164" t="s">
        <v>10</v>
      </c>
      <c r="Q1061" s="9"/>
      <c r="R1061" s="164" t="s">
        <v>11</v>
      </c>
      <c r="S1061" s="78" t="s">
        <v>12</v>
      </c>
      <c r="T1061" s="114"/>
      <c r="U1061" s="11"/>
    </row>
    <row r="1062" spans="3:21" ht="35.25" customHeight="1" x14ac:dyDescent="0.25">
      <c r="C1062" s="322"/>
      <c r="D1062" s="9"/>
      <c r="E1062" s="9"/>
      <c r="F1062" s="120"/>
      <c r="G1062" s="121"/>
      <c r="H1062" s="120"/>
      <c r="I1062" s="120"/>
      <c r="J1062" s="120"/>
      <c r="K1062" s="109"/>
      <c r="L1062" s="109"/>
      <c r="M1062" s="109"/>
      <c r="N1062" s="109"/>
      <c r="O1062" s="10"/>
      <c r="P1062" s="17"/>
      <c r="Q1062" s="165" t="s">
        <v>13</v>
      </c>
      <c r="R1062" s="166">
        <v>400</v>
      </c>
      <c r="S1062" s="4" t="b">
        <v>0</v>
      </c>
      <c r="T1062" s="115"/>
      <c r="U1062" s="11"/>
    </row>
    <row r="1063" spans="3:21" ht="35.25" customHeight="1" x14ac:dyDescent="0.25">
      <c r="C1063" s="322"/>
      <c r="D1063" s="9"/>
      <c r="E1063" s="9"/>
      <c r="F1063" s="120"/>
      <c r="G1063" s="121"/>
      <c r="H1063" s="120"/>
      <c r="I1063" s="120"/>
      <c r="J1063" s="120"/>
      <c r="K1063" s="109"/>
      <c r="L1063" s="109"/>
      <c r="M1063" s="109"/>
      <c r="N1063" s="109"/>
      <c r="O1063" s="10"/>
      <c r="P1063" s="17"/>
      <c r="Q1063" s="165" t="s">
        <v>14</v>
      </c>
      <c r="R1063" s="166">
        <v>485</v>
      </c>
      <c r="S1063" s="4" t="b">
        <v>0</v>
      </c>
      <c r="T1063" s="115"/>
      <c r="U1063" s="11"/>
    </row>
    <row r="1064" spans="3:21" ht="35.25" customHeight="1" x14ac:dyDescent="0.25">
      <c r="C1064" s="322"/>
      <c r="D1064" s="9"/>
      <c r="E1064" s="9"/>
      <c r="F1064" s="120"/>
      <c r="G1064" s="121"/>
      <c r="H1064" s="120"/>
      <c r="I1064" s="120"/>
      <c r="J1064" s="120"/>
      <c r="K1064" s="109"/>
      <c r="L1064" s="109"/>
      <c r="M1064" s="109"/>
      <c r="N1064" s="109"/>
      <c r="O1064" s="10"/>
      <c r="P1064" s="17"/>
      <c r="Q1064" s="165" t="s">
        <v>15</v>
      </c>
      <c r="R1064" s="166">
        <v>520</v>
      </c>
      <c r="S1064" s="4" t="b">
        <v>0</v>
      </c>
      <c r="T1064" s="115"/>
      <c r="U1064" s="11"/>
    </row>
    <row r="1065" spans="3:21" ht="35.25" customHeight="1" x14ac:dyDescent="0.25">
      <c r="C1065" s="322"/>
      <c r="D1065" s="9"/>
      <c r="E1065" s="9"/>
      <c r="F1065" s="120"/>
      <c r="G1065" s="121"/>
      <c r="H1065" s="120"/>
      <c r="I1065" s="120"/>
      <c r="J1065" s="120"/>
      <c r="K1065" s="109"/>
      <c r="L1065" s="109"/>
      <c r="M1065" s="109"/>
      <c r="N1065" s="109"/>
      <c r="O1065" s="10"/>
      <c r="P1065" s="17"/>
      <c r="Q1065" s="165" t="s">
        <v>16</v>
      </c>
      <c r="R1065" s="166">
        <v>800</v>
      </c>
      <c r="S1065" s="4" t="b">
        <v>0</v>
      </c>
      <c r="T1065" s="115"/>
      <c r="U1065" s="11"/>
    </row>
    <row r="1066" spans="3:21" ht="35.25" customHeight="1" x14ac:dyDescent="0.25">
      <c r="C1066" s="322"/>
      <c r="D1066" s="9"/>
      <c r="E1066" s="9"/>
      <c r="F1066" s="120"/>
      <c r="G1066" s="121"/>
      <c r="H1066" s="120"/>
      <c r="I1066" s="120"/>
      <c r="J1066" s="9"/>
      <c r="K1066" s="16"/>
      <c r="L1066" s="9"/>
      <c r="M1066" s="9"/>
      <c r="N1066" s="9"/>
      <c r="O1066" s="9"/>
      <c r="P1066" s="17"/>
      <c r="Q1066" s="165" t="s">
        <v>17</v>
      </c>
      <c r="R1066" s="166">
        <v>900</v>
      </c>
      <c r="S1066" s="4" t="b">
        <v>0</v>
      </c>
      <c r="T1066" s="115"/>
      <c r="U1066" s="11"/>
    </row>
    <row r="1067" spans="3:21" ht="35.25" customHeight="1" x14ac:dyDescent="0.25">
      <c r="C1067" s="322"/>
      <c r="D1067" s="9"/>
      <c r="E1067" s="9"/>
      <c r="F1067" s="120"/>
      <c r="G1067" s="121"/>
      <c r="H1067" s="120"/>
      <c r="I1067" s="120"/>
      <c r="J1067" s="406"/>
      <c r="K1067" s="406"/>
      <c r="L1067" s="406"/>
      <c r="M1067" s="406"/>
      <c r="N1067" s="406"/>
      <c r="O1067" s="407"/>
      <c r="P1067" s="17"/>
      <c r="Q1067" s="165" t="s">
        <v>18</v>
      </c>
      <c r="R1067" s="166">
        <v>1100</v>
      </c>
      <c r="S1067" s="4" t="b">
        <v>0</v>
      </c>
      <c r="T1067" s="115"/>
      <c r="U1067" s="11"/>
    </row>
    <row r="1068" spans="3:21" ht="35.25" customHeight="1" x14ac:dyDescent="0.25">
      <c r="C1068" s="322"/>
      <c r="D1068" s="9"/>
      <c r="E1068" s="9"/>
      <c r="F1068" s="120"/>
      <c r="G1068" s="121"/>
      <c r="H1068" s="120"/>
      <c r="I1068" s="120"/>
      <c r="J1068" s="120"/>
      <c r="K1068" s="109"/>
      <c r="L1068" s="109"/>
      <c r="M1068" s="109"/>
      <c r="N1068" s="109"/>
      <c r="O1068" s="10"/>
      <c r="P1068" s="314"/>
      <c r="Q1068" s="314" t="s">
        <v>19</v>
      </c>
      <c r="R1068" s="313">
        <v>195</v>
      </c>
      <c r="S1068" s="315" t="b">
        <v>0</v>
      </c>
      <c r="T1068" s="115"/>
      <c r="U1068" s="11"/>
    </row>
    <row r="1069" spans="3:21" ht="35.25" customHeight="1" x14ac:dyDescent="0.35">
      <c r="C1069" s="322"/>
      <c r="D1069" s="9"/>
      <c r="E1069" s="9"/>
      <c r="F1069" s="120"/>
      <c r="G1069" s="121"/>
      <c r="H1069" s="120"/>
      <c r="I1069" s="120"/>
      <c r="J1069" s="120"/>
      <c r="K1069" s="109"/>
      <c r="L1069" s="109"/>
      <c r="M1069" s="109"/>
      <c r="N1069" s="109"/>
      <c r="O1069" s="10"/>
      <c r="P1069" s="316"/>
      <c r="Q1069" s="314" t="s">
        <v>1736</v>
      </c>
      <c r="R1069" s="313">
        <v>229</v>
      </c>
      <c r="S1069" s="315" t="b">
        <v>0</v>
      </c>
      <c r="T1069" s="115"/>
      <c r="U1069" s="11"/>
    </row>
    <row r="1070" spans="3:21" ht="139.5" customHeight="1" thickBot="1" x14ac:dyDescent="0.3">
      <c r="C1070" s="322"/>
      <c r="D1070" s="9"/>
      <c r="E1070" s="9"/>
      <c r="F1070" s="120"/>
      <c r="G1070" s="121"/>
      <c r="H1070" s="120"/>
      <c r="I1070" s="120"/>
      <c r="J1070" s="120"/>
      <c r="K1070" s="109"/>
      <c r="L1070" s="109"/>
      <c r="M1070" s="109"/>
      <c r="N1070" s="109"/>
      <c r="O1070" s="10"/>
      <c r="P1070" s="501" t="s">
        <v>1735</v>
      </c>
      <c r="Q1070" s="502"/>
      <c r="R1070" s="502"/>
      <c r="S1070" s="503"/>
      <c r="T1070" s="116"/>
      <c r="U1070" s="11"/>
    </row>
    <row r="1071" spans="3:21" ht="16.5" thickTop="1" x14ac:dyDescent="0.25">
      <c r="C1071" s="322"/>
      <c r="D1071" s="9"/>
      <c r="E1071" s="9"/>
      <c r="F1071" s="120"/>
      <c r="G1071" s="121"/>
      <c r="H1071" s="120"/>
      <c r="I1071" s="120"/>
      <c r="J1071" s="120"/>
      <c r="K1071" s="109"/>
      <c r="L1071" s="109"/>
      <c r="M1071" s="109"/>
      <c r="N1071" s="109"/>
      <c r="O1071" s="10"/>
      <c r="P1071" s="12"/>
      <c r="Q1071" s="9"/>
      <c r="R1071" s="13"/>
      <c r="S1071" s="14"/>
      <c r="T1071" s="76"/>
      <c r="U1071" s="11"/>
    </row>
    <row r="1072" spans="3:21" ht="129" customHeight="1" x14ac:dyDescent="0.25">
      <c r="C1072" s="322"/>
      <c r="D1072" s="9"/>
      <c r="E1072" s="9"/>
      <c r="F1072" s="120"/>
      <c r="G1072" s="121"/>
      <c r="H1072" s="120"/>
      <c r="I1072" s="120"/>
      <c r="J1072" s="120"/>
      <c r="K1072" s="120"/>
      <c r="L1072" s="122"/>
      <c r="M1072" s="122"/>
      <c r="N1072" s="123"/>
      <c r="O1072" s="10"/>
      <c r="P1072" s="537"/>
      <c r="Q1072" s="538"/>
      <c r="R1072" s="530">
        <f>_xlfn.LET(
  _xlpm.p, IFERROR(--_xlfn.TEXTBEFORE(R1056," pallet"),0),
  _xlpm.c, IFERROR(--_xlfn.TEXTAFTER(_xlfn.TEXTBEFORE(R1056," cases"),"+ "),0),
  _xlpm.totalPallets, _xlpm.p + IF(_xlpm.c&gt;0,1,0),
  _xlpm.rate, 400*--S1062 + 485*--S1063 + 520*--S1064 + 800*--S1065 + 900*--S1066 + 1100*--S1067,
  _xlpm.totalPallets*_xlpm.rate + 195*--S1068 + 229*--S1069 + N(R1057) + N(R1059)
)</f>
        <v>0</v>
      </c>
      <c r="S1072" s="531"/>
      <c r="T1072" s="117"/>
      <c r="U1072" s="11"/>
    </row>
    <row r="1073" spans="3:21" ht="20.25" customHeight="1" x14ac:dyDescent="0.25">
      <c r="D1073" s="177"/>
      <c r="E1073" s="9"/>
      <c r="F1073" s="120"/>
      <c r="G1073" s="121"/>
      <c r="H1073" s="120"/>
      <c r="I1073" s="120"/>
      <c r="J1073" s="120"/>
      <c r="K1073" s="120"/>
      <c r="L1073" s="122"/>
      <c r="M1073" s="122"/>
      <c r="N1073" s="123"/>
      <c r="O1073" s="125"/>
      <c r="P1073" s="124"/>
      <c r="Q1073" s="124"/>
      <c r="R1073" s="117"/>
      <c r="S1073" s="117"/>
      <c r="T1073" s="117"/>
      <c r="U1073" s="28"/>
    </row>
    <row r="1074" spans="3:21" s="321" customFormat="1" ht="27" customHeight="1" x14ac:dyDescent="0.35">
      <c r="C1074" s="323"/>
      <c r="D1074" s="293" t="s">
        <v>1699</v>
      </c>
      <c r="E1074" s="293"/>
      <c r="F1074" s="293"/>
      <c r="G1074" s="294"/>
      <c r="H1074" s="295"/>
      <c r="I1074" s="295"/>
      <c r="J1074" s="295"/>
      <c r="K1074" s="296"/>
      <c r="L1074" s="457"/>
      <c r="M1074" s="457"/>
      <c r="N1074" s="295"/>
      <c r="O1074" s="295"/>
      <c r="P1074" s="295"/>
      <c r="Q1074" s="295"/>
      <c r="R1074" s="295"/>
      <c r="S1074" s="295"/>
      <c r="T1074" s="295"/>
      <c r="U1074" s="297"/>
    </row>
    <row r="1075" spans="3:21" s="321" customFormat="1" ht="28.5" customHeight="1" x14ac:dyDescent="0.35">
      <c r="C1075" s="323"/>
      <c r="D1075" s="298" t="s">
        <v>1700</v>
      </c>
      <c r="E1075" s="298"/>
      <c r="F1075" s="298"/>
      <c r="G1075" s="299"/>
      <c r="H1075" s="253"/>
      <c r="I1075" s="253"/>
      <c r="J1075" s="253"/>
      <c r="K1075" s="217"/>
      <c r="L1075" s="253"/>
      <c r="M1075" s="253"/>
      <c r="N1075" s="253"/>
      <c r="O1075" s="253"/>
      <c r="P1075" s="253"/>
      <c r="Q1075" s="253"/>
      <c r="R1075" s="253"/>
      <c r="S1075" s="253"/>
      <c r="T1075" s="253"/>
      <c r="U1075" s="300"/>
    </row>
    <row r="1076" spans="3:21" s="321" customFormat="1" ht="28.5" customHeight="1" x14ac:dyDescent="0.35">
      <c r="C1076" s="323"/>
      <c r="D1076" s="298" t="s">
        <v>1750</v>
      </c>
      <c r="E1076" s="298"/>
      <c r="F1076" s="298"/>
      <c r="G1076" s="299"/>
      <c r="H1076" s="253"/>
      <c r="I1076" s="253"/>
      <c r="J1076" s="253"/>
      <c r="K1076" s="217"/>
      <c r="L1076" s="253"/>
      <c r="M1076" s="253"/>
      <c r="N1076" s="253"/>
      <c r="O1076" s="253"/>
      <c r="P1076" s="253"/>
      <c r="Q1076" s="253"/>
      <c r="R1076" s="253"/>
      <c r="S1076" s="253"/>
      <c r="T1076" s="253"/>
      <c r="U1076" s="300"/>
    </row>
    <row r="1077" spans="3:21" s="321" customFormat="1" ht="28.5" customHeight="1" x14ac:dyDescent="0.35">
      <c r="C1077" s="323"/>
      <c r="D1077" s="298" t="s">
        <v>1751</v>
      </c>
      <c r="E1077" s="298"/>
      <c r="F1077" s="298"/>
      <c r="G1077" s="299"/>
      <c r="H1077" s="253"/>
      <c r="I1077" s="253"/>
      <c r="J1077" s="253"/>
      <c r="K1077" s="217"/>
      <c r="L1077" s="253"/>
      <c r="M1077" s="253"/>
      <c r="N1077" s="253"/>
      <c r="O1077" s="253"/>
      <c r="P1077" s="253"/>
      <c r="Q1077" s="253"/>
      <c r="R1077" s="253"/>
      <c r="S1077" s="253"/>
      <c r="T1077" s="253"/>
      <c r="U1077" s="300"/>
    </row>
    <row r="1078" spans="3:21" s="321" customFormat="1" ht="28.5" customHeight="1" thickBot="1" x14ac:dyDescent="0.4">
      <c r="D1078" s="301" t="s">
        <v>1701</v>
      </c>
      <c r="E1078" s="302"/>
      <c r="F1078" s="302"/>
      <c r="G1078" s="303"/>
      <c r="H1078" s="304"/>
      <c r="I1078" s="304"/>
      <c r="J1078" s="304"/>
      <c r="K1078" s="305"/>
      <c r="L1078" s="304"/>
      <c r="M1078" s="304"/>
      <c r="N1078" s="304"/>
      <c r="O1078" s="304"/>
      <c r="P1078" s="304"/>
      <c r="Q1078" s="304"/>
      <c r="R1078" s="304"/>
      <c r="S1078" s="304"/>
      <c r="T1078" s="304"/>
      <c r="U1078" s="306"/>
    </row>
  </sheetData>
  <sheetProtection algorithmName="SHA-512" hashValue="gY6qMejo08NmzzhMNLpsd4y9nW9nIUYMs0f9KaGeOYLdaEDxPv94yJpbeT6EmpMF1N6GF4SieQ16qtvC+fb1ew==" saltValue="N5BnlXBOeZXCsf4WJ5l4Kw==" spinCount="100000" sheet="1" objects="1" scenarios="1"/>
  <autoFilter ref="V1:W1078" xr:uid="{D12E011F-0566-4282-8379-67A0852A44FE}">
    <filterColumn colId="1">
      <filters blank="1">
        <filter val="#VALUE!"/>
        <filter val="Show"/>
        <filter val="show?"/>
      </filters>
    </filterColumn>
  </autoFilter>
  <sortState xmlns:xlrd2="http://schemas.microsoft.com/office/spreadsheetml/2017/richdata2" ref="F633:X986">
    <sortCondition ref="F633:F986"/>
    <sortCondition ref="G633:G986"/>
    <sortCondition ref="H633:H986"/>
    <sortCondition ref="X633:X986"/>
  </sortState>
  <customSheetViews>
    <customSheetView guid="{533AD239-F422-4464-B3A3-7C11E4AF2472}" scale="70" showPageBreaks="1" showGridLines="0" fitToPage="1" printArea="1" filter="1" showAutoFilter="1" hiddenColumns="1">
      <selection activeCell="C63" sqref="C63:P66"/>
      <pageMargins left="0.25" right="0.25" top="0.75" bottom="0.75" header="0.3" footer="0.3"/>
      <printOptions horizontalCentered="1"/>
      <pageSetup scale="33" fitToHeight="0" orientation="portrait" r:id="rId1"/>
      <autoFilter ref="R1:R1041" xr:uid="{601291B5-28B7-4C59-A0B0-AE2B9D23B610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</customSheetView>
    <customSheetView guid="{3F151249-09B1-4064-A2B7-52ACCBE51740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2"/>
      <autoFilter ref="R1:R1042" xr:uid="{F762A223-74F5-4F06-A104-55D1C87E038C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  <customSheetView guid="{90FD0011-CDCB-4802-9813-C8A8D2A6E771}" scale="70" showGridLines="0" showRowCol="0" fitToPage="1" printArea="1" filter="1" showAutoFilter="1" hiddenColumns="1">
      <selection activeCell="S11" sqref="S11"/>
      <pageMargins left="0.25" right="0.25" top="0.75" bottom="0.75" header="0.3" footer="0.3"/>
      <printOptions horizontalCentered="1"/>
      <pageSetup scale="33" fitToHeight="0" orientation="portrait" r:id="rId3"/>
      <autoFilter ref="R1:R1042" xr:uid="{E3F70AFB-AAB0-4145-AA76-9AE1F990E029}">
        <filterColumn colId="0">
          <filters blank="1">
            <filter val="#VALUE!"/>
            <filter val="-1"/>
            <filter val="100"/>
            <filter val="105"/>
            <filter val="107"/>
            <filter val="108"/>
            <filter val="116"/>
            <filter val="1171"/>
            <filter val="129"/>
            <filter val="130"/>
            <filter val="135"/>
            <filter val="1385"/>
            <filter val="141"/>
            <filter val="144"/>
            <filter val="149"/>
            <filter val="150"/>
            <filter val="153"/>
            <filter val="155"/>
            <filter val="159"/>
            <filter val="-16"/>
            <filter val="165"/>
            <filter val="175"/>
            <filter val="184"/>
            <filter val="186"/>
            <filter val="193"/>
            <filter val="196"/>
            <filter val="197"/>
            <filter val="2153"/>
            <filter val="2208"/>
            <filter val="233"/>
            <filter val="236"/>
            <filter val="243"/>
            <filter val="264"/>
            <filter val="267"/>
            <filter val="283"/>
            <filter val="2901"/>
            <filter val="314"/>
            <filter val="33"/>
            <filter val="-35"/>
            <filter val="359"/>
            <filter val="390"/>
            <filter val="423"/>
            <filter val="429"/>
            <filter val="450"/>
            <filter val="461"/>
            <filter val="493"/>
            <filter val="51"/>
            <filter val="514"/>
            <filter val="516"/>
            <filter val="52"/>
            <filter val="55"/>
            <filter val="56"/>
            <filter val="57"/>
            <filter val="584"/>
            <filter val="59"/>
            <filter val="60"/>
            <filter val="607"/>
            <filter val="62"/>
            <filter val="63"/>
            <filter val="641"/>
            <filter val="67"/>
            <filter val="70"/>
            <filter val="71"/>
            <filter val="717"/>
            <filter val="725"/>
            <filter val="75"/>
            <filter val="77"/>
            <filter val="79"/>
            <filter val="791"/>
            <filter val="80"/>
            <filter val="83"/>
            <filter val="85"/>
            <filter val="86"/>
            <filter val="90"/>
            <filter val="91"/>
            <filter val="95"/>
            <filter val="98"/>
            <filter val="99"/>
          </filters>
        </filterColumn>
      </autoFilter>
      <extLst>
        <ext xmlns:xlsdti="http://schemas.microsoft.com/office/spreadsheetml/2023/showDataTypeIcons" uri="{a3c15fd4-4149-4032-8f15-062bd4999b60}">
          <xlsdti:showDataTypeIconsCustomSheetView visible="0"/>
        </ext>
      </extLst>
    </customSheetView>
  </customSheetViews>
  <mergeCells count="1998">
    <mergeCell ref="Q97:S97"/>
    <mergeCell ref="H86:K86"/>
    <mergeCell ref="Q86:S86"/>
    <mergeCell ref="H87:K87"/>
    <mergeCell ref="Q87:S87"/>
    <mergeCell ref="Q89:S89"/>
    <mergeCell ref="Q90:S90"/>
    <mergeCell ref="H89:K89"/>
    <mergeCell ref="H90:K90"/>
    <mergeCell ref="Q571:S571"/>
    <mergeCell ref="Q634:S634"/>
    <mergeCell ref="Q284:S284"/>
    <mergeCell ref="Q675:S675"/>
    <mergeCell ref="Q677:S677"/>
    <mergeCell ref="Q631:S631"/>
    <mergeCell ref="Q632:S632"/>
    <mergeCell ref="Q664:S664"/>
    <mergeCell ref="Q665:S665"/>
    <mergeCell ref="Q666:S666"/>
    <mergeCell ref="Q667:S667"/>
    <mergeCell ref="Q668:S668"/>
    <mergeCell ref="Q659:S659"/>
    <mergeCell ref="Q660:S660"/>
    <mergeCell ref="Q661:S661"/>
    <mergeCell ref="Q662:S662"/>
    <mergeCell ref="Q663:S663"/>
    <mergeCell ref="Q654:S654"/>
    <mergeCell ref="Q655:S655"/>
    <mergeCell ref="Q656:S656"/>
    <mergeCell ref="Q657:S657"/>
    <mergeCell ref="Q658:S658"/>
    <mergeCell ref="Q707:S707"/>
    <mergeCell ref="H867:K867"/>
    <mergeCell ref="Q867:S867"/>
    <mergeCell ref="Q874:S874"/>
    <mergeCell ref="Q876:S876"/>
    <mergeCell ref="Q885:S885"/>
    <mergeCell ref="H887:K887"/>
    <mergeCell ref="Q894:S894"/>
    <mergeCell ref="Q896:S896"/>
    <mergeCell ref="Q897:S897"/>
    <mergeCell ref="Q886:S886"/>
    <mergeCell ref="Q890:S890"/>
    <mergeCell ref="Q891:S891"/>
    <mergeCell ref="Q892:S892"/>
    <mergeCell ref="Q893:S893"/>
    <mergeCell ref="Q895:S895"/>
    <mergeCell ref="H759:K759"/>
    <mergeCell ref="Q877:S877"/>
    <mergeCell ref="Q870:S870"/>
    <mergeCell ref="Q878:S878"/>
    <mergeCell ref="Q853:S853"/>
    <mergeCell ref="Q854:S854"/>
    <mergeCell ref="Q855:S855"/>
    <mergeCell ref="Q856:S856"/>
    <mergeCell ref="Q857:S857"/>
    <mergeCell ref="Q869:S869"/>
    <mergeCell ref="Q852:S852"/>
    <mergeCell ref="Q826:S826"/>
    <mergeCell ref="Q827:S827"/>
    <mergeCell ref="Q828:S828"/>
    <mergeCell ref="Q829:S829"/>
    <mergeCell ref="Q830:S830"/>
    <mergeCell ref="P46:Q46"/>
    <mergeCell ref="R46:S46"/>
    <mergeCell ref="P50:Q50"/>
    <mergeCell ref="P51:Q51"/>
    <mergeCell ref="P52:Q52"/>
    <mergeCell ref="P53:Q53"/>
    <mergeCell ref="P54:Q54"/>
    <mergeCell ref="P55:Q55"/>
    <mergeCell ref="P56:Q56"/>
    <mergeCell ref="P57:Q57"/>
    <mergeCell ref="P58:Q58"/>
    <mergeCell ref="R48:S48"/>
    <mergeCell ref="H707:K707"/>
    <mergeCell ref="H284:K284"/>
    <mergeCell ref="Q565:S565"/>
    <mergeCell ref="Q566:S566"/>
    <mergeCell ref="Q567:S567"/>
    <mergeCell ref="Q568:S568"/>
    <mergeCell ref="Q570:S570"/>
    <mergeCell ref="H675:K675"/>
    <mergeCell ref="H677:K677"/>
    <mergeCell ref="Q692:S692"/>
    <mergeCell ref="H692:K692"/>
    <mergeCell ref="Q690:S690"/>
    <mergeCell ref="Q691:S691"/>
    <mergeCell ref="Q693:S693"/>
    <mergeCell ref="Q698:S698"/>
    <mergeCell ref="Q701:S701"/>
    <mergeCell ref="Q696:S696"/>
    <mergeCell ref="Q697:S697"/>
    <mergeCell ref="Q684:S684"/>
    <mergeCell ref="Q685:S685"/>
    <mergeCell ref="R1072:S1072"/>
    <mergeCell ref="F53:G53"/>
    <mergeCell ref="F66:S66"/>
    <mergeCell ref="P1059:Q1059"/>
    <mergeCell ref="P1072:Q1072"/>
    <mergeCell ref="Q935:S935"/>
    <mergeCell ref="Q936:S936"/>
    <mergeCell ref="Q937:S937"/>
    <mergeCell ref="Q938:S938"/>
    <mergeCell ref="Q939:S939"/>
    <mergeCell ref="Q923:S923"/>
    <mergeCell ref="Q924:S924"/>
    <mergeCell ref="Q930:S930"/>
    <mergeCell ref="Q932:S932"/>
    <mergeCell ref="Q933:S933"/>
    <mergeCell ref="Q917:S917"/>
    <mergeCell ref="Q919:S919"/>
    <mergeCell ref="Q920:S920"/>
    <mergeCell ref="Q921:S921"/>
    <mergeCell ref="R1059:S1059"/>
    <mergeCell ref="Q130:S130"/>
    <mergeCell ref="Q1000:S1000"/>
    <mergeCell ref="Q1001:S1001"/>
    <mergeCell ref="Q1002:S1002"/>
    <mergeCell ref="Q1036:S1036"/>
    <mergeCell ref="Q1037:S1037"/>
    <mergeCell ref="Q992:S992"/>
    <mergeCell ref="Q1025:S1025"/>
    <mergeCell ref="Q1034:S1034"/>
    <mergeCell ref="Q998:S998"/>
    <mergeCell ref="H569:K569"/>
    <mergeCell ref="Q569:S569"/>
    <mergeCell ref="F54:G54"/>
    <mergeCell ref="F52:G52"/>
    <mergeCell ref="F65:S65"/>
    <mergeCell ref="Q1052:S1052"/>
    <mergeCell ref="Q614:S614"/>
    <mergeCell ref="Q929:S929"/>
    <mergeCell ref="Q1045:S1045"/>
    <mergeCell ref="Q1046:S1046"/>
    <mergeCell ref="Q1047:S1047"/>
    <mergeCell ref="Q1049:S1049"/>
    <mergeCell ref="Q1050:S1050"/>
    <mergeCell ref="Q1040:S1040"/>
    <mergeCell ref="Q1041:S1041"/>
    <mergeCell ref="Q1042:S1042"/>
    <mergeCell ref="Q1043:S1043"/>
    <mergeCell ref="Q1044:S1044"/>
    <mergeCell ref="Q1035:S1035"/>
    <mergeCell ref="Q934:S934"/>
    <mergeCell ref="Q1012:S1012"/>
    <mergeCell ref="Q1013:S1013"/>
    <mergeCell ref="Q1014:S1014"/>
    <mergeCell ref="Q1015:S1015"/>
    <mergeCell ref="Q1016:S1016"/>
    <mergeCell ref="Q1005:S1005"/>
    <mergeCell ref="Q1006:S1006"/>
    <mergeCell ref="Q1007:S1007"/>
    <mergeCell ref="Q1010:S1010"/>
    <mergeCell ref="Q759:S759"/>
    <mergeCell ref="H742:K742"/>
    <mergeCell ref="Q742:S742"/>
    <mergeCell ref="Q832:S832"/>
    <mergeCell ref="Q833:S833"/>
    <mergeCell ref="Q1011:S1011"/>
    <mergeCell ref="H918:K918"/>
    <mergeCell ref="Q915:S915"/>
    <mergeCell ref="Q918:S918"/>
    <mergeCell ref="Q946:S946"/>
    <mergeCell ref="F11:S12"/>
    <mergeCell ref="G7:H7"/>
    <mergeCell ref="G8:H8"/>
    <mergeCell ref="G9:H9"/>
    <mergeCell ref="G10:H10"/>
    <mergeCell ref="Q1038:S1038"/>
    <mergeCell ref="Q1039:S1039"/>
    <mergeCell ref="Q1028:S1028"/>
    <mergeCell ref="Q1029:S1029"/>
    <mergeCell ref="Q1030:S1030"/>
    <mergeCell ref="Q1032:S1032"/>
    <mergeCell ref="Q1033:S1033"/>
    <mergeCell ref="Q1022:S1022"/>
    <mergeCell ref="Q1023:S1023"/>
    <mergeCell ref="Q1024:S1024"/>
    <mergeCell ref="Q1026:S1026"/>
    <mergeCell ref="Q1027:S1027"/>
    <mergeCell ref="Q1017:S1017"/>
    <mergeCell ref="Q1018:S1018"/>
    <mergeCell ref="Q1019:S1019"/>
    <mergeCell ref="Q1020:S1020"/>
    <mergeCell ref="Q1021:S1021"/>
    <mergeCell ref="Q1003:S1003"/>
    <mergeCell ref="Q1004:S1004"/>
    <mergeCell ref="Q994:S994"/>
    <mergeCell ref="Q995:S995"/>
    <mergeCell ref="Q996:S996"/>
    <mergeCell ref="Q997:S997"/>
    <mergeCell ref="Q999:S999"/>
    <mergeCell ref="Q989:S989"/>
    <mergeCell ref="Q990:S990"/>
    <mergeCell ref="Q991:S991"/>
    <mergeCell ref="Q987:S987"/>
    <mergeCell ref="Q988:S988"/>
    <mergeCell ref="Q979:S979"/>
    <mergeCell ref="Q980:S980"/>
    <mergeCell ref="Q981:S981"/>
    <mergeCell ref="Q982:S982"/>
    <mergeCell ref="Q983:S983"/>
    <mergeCell ref="Q973:S973"/>
    <mergeCell ref="Q974:S974"/>
    <mergeCell ref="Q976:S976"/>
    <mergeCell ref="Q977:S977"/>
    <mergeCell ref="Q978:S978"/>
    <mergeCell ref="Q993:S993"/>
    <mergeCell ref="Q984:S984"/>
    <mergeCell ref="Q985:S985"/>
    <mergeCell ref="Q986:S986"/>
    <mergeCell ref="Q968:S968"/>
    <mergeCell ref="Q969:S969"/>
    <mergeCell ref="Q970:S970"/>
    <mergeCell ref="Q971:S971"/>
    <mergeCell ref="Q972:S972"/>
    <mergeCell ref="Q962:S962"/>
    <mergeCell ref="Q965:S965"/>
    <mergeCell ref="Q966:S966"/>
    <mergeCell ref="Q951:S951"/>
    <mergeCell ref="Q952:S952"/>
    <mergeCell ref="Q953:S953"/>
    <mergeCell ref="Q955:S955"/>
    <mergeCell ref="Q956:S956"/>
    <mergeCell ref="Q967:S967"/>
    <mergeCell ref="Q975:S975"/>
    <mergeCell ref="Q940:S940"/>
    <mergeCell ref="Q941:S941"/>
    <mergeCell ref="Q944:S944"/>
    <mergeCell ref="Q945:S945"/>
    <mergeCell ref="Q949:S949"/>
    <mergeCell ref="Q964:S964"/>
    <mergeCell ref="Q963:S963"/>
    <mergeCell ref="Q947:S947"/>
    <mergeCell ref="Q959:S959"/>
    <mergeCell ref="Q957:S957"/>
    <mergeCell ref="Q958:S958"/>
    <mergeCell ref="Q954:S954"/>
    <mergeCell ref="Q905:S905"/>
    <mergeCell ref="Q906:S906"/>
    <mergeCell ref="Q907:S907"/>
    <mergeCell ref="Q908:S908"/>
    <mergeCell ref="Q909:S909"/>
    <mergeCell ref="Q943:S943"/>
    <mergeCell ref="Q900:S900"/>
    <mergeCell ref="Q901:S901"/>
    <mergeCell ref="Q902:S902"/>
    <mergeCell ref="Q903:S903"/>
    <mergeCell ref="Q904:S904"/>
    <mergeCell ref="Q913:S913"/>
    <mergeCell ref="Q922:S922"/>
    <mergeCell ref="Q910:S910"/>
    <mergeCell ref="Q911:S911"/>
    <mergeCell ref="Q912:S912"/>
    <mergeCell ref="Q914:S914"/>
    <mergeCell ref="Q942:S942"/>
    <mergeCell ref="Q884:S884"/>
    <mergeCell ref="Q871:S871"/>
    <mergeCell ref="Q873:S873"/>
    <mergeCell ref="Q879:S879"/>
    <mergeCell ref="Q863:S863"/>
    <mergeCell ref="Q864:S864"/>
    <mergeCell ref="Q866:S866"/>
    <mergeCell ref="Q868:S868"/>
    <mergeCell ref="Q858:S858"/>
    <mergeCell ref="Q859:S859"/>
    <mergeCell ref="Q860:S860"/>
    <mergeCell ref="Q861:S861"/>
    <mergeCell ref="Q862:S862"/>
    <mergeCell ref="Q875:S875"/>
    <mergeCell ref="Q887:S887"/>
    <mergeCell ref="Q916:S916"/>
    <mergeCell ref="Q931:S931"/>
    <mergeCell ref="Q838:S838"/>
    <mergeCell ref="Q848:S848"/>
    <mergeCell ref="Q823:S823"/>
    <mergeCell ref="Q824:S824"/>
    <mergeCell ref="Q825:S825"/>
    <mergeCell ref="Q865:S865"/>
    <mergeCell ref="Q850:S850"/>
    <mergeCell ref="Q835:S835"/>
    <mergeCell ref="Q836:S836"/>
    <mergeCell ref="Q811:S811"/>
    <mergeCell ref="Q812:S812"/>
    <mergeCell ref="Q813:S813"/>
    <mergeCell ref="Q814:S814"/>
    <mergeCell ref="Q815:S815"/>
    <mergeCell ref="Q845:S845"/>
    <mergeCell ref="Q898:S898"/>
    <mergeCell ref="Q899:S899"/>
    <mergeCell ref="Q846:S846"/>
    <mergeCell ref="Q847:S847"/>
    <mergeCell ref="Q849:S849"/>
    <mergeCell ref="Q851:S851"/>
    <mergeCell ref="Q837:S837"/>
    <mergeCell ref="Q839:S839"/>
    <mergeCell ref="Q842:S842"/>
    <mergeCell ref="Q843:S843"/>
    <mergeCell ref="Q844:S844"/>
    <mergeCell ref="Q831:S831"/>
    <mergeCell ref="Q888:S888"/>
    <mergeCell ref="Q880:S880"/>
    <mergeCell ref="Q881:S881"/>
    <mergeCell ref="Q882:S882"/>
    <mergeCell ref="Q883:S883"/>
    <mergeCell ref="Q801:S801"/>
    <mergeCell ref="Q802:S802"/>
    <mergeCell ref="Q803:S803"/>
    <mergeCell ref="Q804:S804"/>
    <mergeCell ref="Q805:S805"/>
    <mergeCell ref="Q796:S796"/>
    <mergeCell ref="Q797:S797"/>
    <mergeCell ref="Q798:S798"/>
    <mergeCell ref="Q799:S799"/>
    <mergeCell ref="Q800:S800"/>
    <mergeCell ref="Q816:S816"/>
    <mergeCell ref="Q817:S817"/>
    <mergeCell ref="Q818:S818"/>
    <mergeCell ref="Q819:S819"/>
    <mergeCell ref="Q820:S820"/>
    <mergeCell ref="Q821:S821"/>
    <mergeCell ref="Q822:S822"/>
    <mergeCell ref="Q806:S806"/>
    <mergeCell ref="Q807:S807"/>
    <mergeCell ref="Q808:S808"/>
    <mergeCell ref="Q809:S809"/>
    <mergeCell ref="Q810:S810"/>
    <mergeCell ref="Q790:S790"/>
    <mergeCell ref="Q791:S791"/>
    <mergeCell ref="Q792:S792"/>
    <mergeCell ref="Q795:S795"/>
    <mergeCell ref="Q794:S794"/>
    <mergeCell ref="Q785:S785"/>
    <mergeCell ref="Q786:S786"/>
    <mergeCell ref="Q787:S787"/>
    <mergeCell ref="Q788:S788"/>
    <mergeCell ref="Q789:S789"/>
    <mergeCell ref="Q780:S780"/>
    <mergeCell ref="Q781:S781"/>
    <mergeCell ref="Q782:S782"/>
    <mergeCell ref="Q783:S783"/>
    <mergeCell ref="Q784:S784"/>
    <mergeCell ref="Q793:S793"/>
    <mergeCell ref="Q774:S774"/>
    <mergeCell ref="Q775:S775"/>
    <mergeCell ref="Q777:S777"/>
    <mergeCell ref="Q778:S778"/>
    <mergeCell ref="Q779:S779"/>
    <mergeCell ref="Q769:S769"/>
    <mergeCell ref="Q770:S770"/>
    <mergeCell ref="Q771:S771"/>
    <mergeCell ref="Q772:S772"/>
    <mergeCell ref="Q773:S773"/>
    <mergeCell ref="Q764:S764"/>
    <mergeCell ref="Q765:S765"/>
    <mergeCell ref="Q766:S766"/>
    <mergeCell ref="Q767:S767"/>
    <mergeCell ref="Q768:S768"/>
    <mergeCell ref="Q755:S755"/>
    <mergeCell ref="Q756:S756"/>
    <mergeCell ref="Q757:S757"/>
    <mergeCell ref="Q758:S758"/>
    <mergeCell ref="Q763:S763"/>
    <mergeCell ref="Q776:S776"/>
    <mergeCell ref="Q750:S750"/>
    <mergeCell ref="Q751:S751"/>
    <mergeCell ref="Q752:S752"/>
    <mergeCell ref="Q753:S753"/>
    <mergeCell ref="Q754:S754"/>
    <mergeCell ref="Q740:S740"/>
    <mergeCell ref="Q743:S743"/>
    <mergeCell ref="Q745:S745"/>
    <mergeCell ref="Q746:S746"/>
    <mergeCell ref="Q749:S749"/>
    <mergeCell ref="Q760:S760"/>
    <mergeCell ref="Q761:S761"/>
    <mergeCell ref="Q762:S762"/>
    <mergeCell ref="Q729:S729"/>
    <mergeCell ref="Q732:S732"/>
    <mergeCell ref="Q734:S734"/>
    <mergeCell ref="Q738:S738"/>
    <mergeCell ref="Q739:S739"/>
    <mergeCell ref="Q719:S719"/>
    <mergeCell ref="Q721:S721"/>
    <mergeCell ref="Q723:S723"/>
    <mergeCell ref="Q725:S725"/>
    <mergeCell ref="Q727:S727"/>
    <mergeCell ref="Q744:S744"/>
    <mergeCell ref="Q748:S748"/>
    <mergeCell ref="Q710:S710"/>
    <mergeCell ref="Q711:S711"/>
    <mergeCell ref="Q713:S713"/>
    <mergeCell ref="Q714:S714"/>
    <mergeCell ref="Q715:S715"/>
    <mergeCell ref="Q717:S717"/>
    <mergeCell ref="Q735:S735"/>
    <mergeCell ref="Q733:S733"/>
    <mergeCell ref="Q730:S730"/>
    <mergeCell ref="Q728:S728"/>
    <mergeCell ref="Q726:S726"/>
    <mergeCell ref="Q724:S724"/>
    <mergeCell ref="Q722:S722"/>
    <mergeCell ref="Q720:S720"/>
    <mergeCell ref="Q718:S718"/>
    <mergeCell ref="Q716:S716"/>
    <mergeCell ref="Q712:S712"/>
    <mergeCell ref="Q731:S731"/>
    <mergeCell ref="Q687:S687"/>
    <mergeCell ref="Q688:S688"/>
    <mergeCell ref="Q689:S689"/>
    <mergeCell ref="Q704:S704"/>
    <mergeCell ref="Q705:S705"/>
    <mergeCell ref="Q706:S706"/>
    <mergeCell ref="Q679:S679"/>
    <mergeCell ref="Q680:S680"/>
    <mergeCell ref="Q681:S681"/>
    <mergeCell ref="Q682:S682"/>
    <mergeCell ref="Q683:S683"/>
    <mergeCell ref="Q699:S699"/>
    <mergeCell ref="Q669:S669"/>
    <mergeCell ref="Q670:S670"/>
    <mergeCell ref="Q671:S671"/>
    <mergeCell ref="Q673:S673"/>
    <mergeCell ref="Q678:S678"/>
    <mergeCell ref="Q686:S686"/>
    <mergeCell ref="Q695:S695"/>
    <mergeCell ref="Q674:S674"/>
    <mergeCell ref="Q676:S676"/>
    <mergeCell ref="Q672:S672"/>
    <mergeCell ref="Q649:S649"/>
    <mergeCell ref="Q650:S650"/>
    <mergeCell ref="Q651:S651"/>
    <mergeCell ref="Q652:S652"/>
    <mergeCell ref="Q653:S653"/>
    <mergeCell ref="Q643:S643"/>
    <mergeCell ref="Q645:S645"/>
    <mergeCell ref="Q646:S646"/>
    <mergeCell ref="Q647:S647"/>
    <mergeCell ref="Q648:S648"/>
    <mergeCell ref="Q636:S636"/>
    <mergeCell ref="Q638:S638"/>
    <mergeCell ref="Q640:S640"/>
    <mergeCell ref="Q641:S641"/>
    <mergeCell ref="Q642:S642"/>
    <mergeCell ref="Q639:S639"/>
    <mergeCell ref="Q633:S633"/>
    <mergeCell ref="Q635:S635"/>
    <mergeCell ref="Q637:S637"/>
    <mergeCell ref="Q630:S630"/>
    <mergeCell ref="Q580:S580"/>
    <mergeCell ref="Q581:S581"/>
    <mergeCell ref="Q582:S582"/>
    <mergeCell ref="Q583:S583"/>
    <mergeCell ref="Q623:S623"/>
    <mergeCell ref="Q625:S625"/>
    <mergeCell ref="Q626:S626"/>
    <mergeCell ref="Q627:S627"/>
    <mergeCell ref="Q617:S617"/>
    <mergeCell ref="Q618:S618"/>
    <mergeCell ref="Q619:S619"/>
    <mergeCell ref="Q620:S620"/>
    <mergeCell ref="Q621:S621"/>
    <mergeCell ref="Q608:S608"/>
    <mergeCell ref="Q609:S609"/>
    <mergeCell ref="Q610:S610"/>
    <mergeCell ref="Q615:S615"/>
    <mergeCell ref="Q616:S616"/>
    <mergeCell ref="Q624:S624"/>
    <mergeCell ref="Q629:S629"/>
    <mergeCell ref="Q601:S601"/>
    <mergeCell ref="Q602:S602"/>
    <mergeCell ref="Q603:S603"/>
    <mergeCell ref="Q607:S607"/>
    <mergeCell ref="Q628:S628"/>
    <mergeCell ref="Q622:S622"/>
    <mergeCell ref="Q606:S606"/>
    <mergeCell ref="Q604:S604"/>
    <mergeCell ref="Q575:S575"/>
    <mergeCell ref="Q576:S576"/>
    <mergeCell ref="Q577:S577"/>
    <mergeCell ref="Q578:S578"/>
    <mergeCell ref="Q579:S579"/>
    <mergeCell ref="Q560:S560"/>
    <mergeCell ref="Q561:S561"/>
    <mergeCell ref="Q562:S562"/>
    <mergeCell ref="Q572:S572"/>
    <mergeCell ref="Q574:S574"/>
    <mergeCell ref="Q584:S584"/>
    <mergeCell ref="Q600:S600"/>
    <mergeCell ref="Q587:S587"/>
    <mergeCell ref="Q555:S555"/>
    <mergeCell ref="Q556:S556"/>
    <mergeCell ref="Q557:S557"/>
    <mergeCell ref="Q558:S558"/>
    <mergeCell ref="Q559:S559"/>
    <mergeCell ref="Q595:S595"/>
    <mergeCell ref="Q596:S596"/>
    <mergeCell ref="Q597:S597"/>
    <mergeCell ref="Q598:S598"/>
    <mergeCell ref="Q599:S599"/>
    <mergeCell ref="Q590:S590"/>
    <mergeCell ref="Q591:S591"/>
    <mergeCell ref="Q592:S592"/>
    <mergeCell ref="Q593:S593"/>
    <mergeCell ref="Q594:S594"/>
    <mergeCell ref="Q589:S589"/>
    <mergeCell ref="Q588:S588"/>
    <mergeCell ref="Q563:S563"/>
    <mergeCell ref="Q564:S564"/>
    <mergeCell ref="Q548:S548"/>
    <mergeCell ref="Q549:S549"/>
    <mergeCell ref="Q551:S551"/>
    <mergeCell ref="Q553:S553"/>
    <mergeCell ref="Q554:S554"/>
    <mergeCell ref="Q543:S543"/>
    <mergeCell ref="Q544:S544"/>
    <mergeCell ref="Q545:S545"/>
    <mergeCell ref="Q546:S546"/>
    <mergeCell ref="Q547:S547"/>
    <mergeCell ref="Q537:S537"/>
    <mergeCell ref="Q539:S539"/>
    <mergeCell ref="Q540:S540"/>
    <mergeCell ref="Q541:S541"/>
    <mergeCell ref="Q542:S542"/>
    <mergeCell ref="Q538:S538"/>
    <mergeCell ref="Q552:S552"/>
    <mergeCell ref="Q550:S550"/>
    <mergeCell ref="Q524:S524"/>
    <mergeCell ref="Q525:S525"/>
    <mergeCell ref="Q526:S526"/>
    <mergeCell ref="Q533:S533"/>
    <mergeCell ref="Q535:S535"/>
    <mergeCell ref="Q518:S518"/>
    <mergeCell ref="Q519:S519"/>
    <mergeCell ref="Q521:S521"/>
    <mergeCell ref="Q522:S522"/>
    <mergeCell ref="Q523:S523"/>
    <mergeCell ref="Q513:S513"/>
    <mergeCell ref="Q514:S514"/>
    <mergeCell ref="Q515:S515"/>
    <mergeCell ref="Q516:S516"/>
    <mergeCell ref="Q517:S517"/>
    <mergeCell ref="Q508:S508"/>
    <mergeCell ref="Q509:S509"/>
    <mergeCell ref="Q510:S510"/>
    <mergeCell ref="Q511:S511"/>
    <mergeCell ref="Q512:S512"/>
    <mergeCell ref="Q528:S528"/>
    <mergeCell ref="Q529:S529"/>
    <mergeCell ref="Q531:S531"/>
    <mergeCell ref="Q532:S532"/>
    <mergeCell ref="Q534:S534"/>
    <mergeCell ref="Q520:S520"/>
    <mergeCell ref="Q530:S530"/>
    <mergeCell ref="Q500:S500"/>
    <mergeCell ref="Q501:S501"/>
    <mergeCell ref="Q503:S503"/>
    <mergeCell ref="Q504:S504"/>
    <mergeCell ref="Q507:S507"/>
    <mergeCell ref="Q495:S495"/>
    <mergeCell ref="Q496:S496"/>
    <mergeCell ref="Q497:S497"/>
    <mergeCell ref="Q498:S498"/>
    <mergeCell ref="Q499:S499"/>
    <mergeCell ref="Q489:S489"/>
    <mergeCell ref="Q491:S491"/>
    <mergeCell ref="Q492:S492"/>
    <mergeCell ref="Q493:S493"/>
    <mergeCell ref="Q494:S494"/>
    <mergeCell ref="Q483:S483"/>
    <mergeCell ref="Q484:S484"/>
    <mergeCell ref="Q486:S486"/>
    <mergeCell ref="Q487:S487"/>
    <mergeCell ref="Q488:S488"/>
    <mergeCell ref="Q505:S505"/>
    <mergeCell ref="Q506:S506"/>
    <mergeCell ref="Q485:S485"/>
    <mergeCell ref="Q481:S481"/>
    <mergeCell ref="Q482:S482"/>
    <mergeCell ref="Q467:S467"/>
    <mergeCell ref="Q468:S468"/>
    <mergeCell ref="Q475:S475"/>
    <mergeCell ref="Q476:S476"/>
    <mergeCell ref="Q477:S477"/>
    <mergeCell ref="Q461:S461"/>
    <mergeCell ref="Q462:S462"/>
    <mergeCell ref="Q463:S463"/>
    <mergeCell ref="Q464:S464"/>
    <mergeCell ref="Q466:S466"/>
    <mergeCell ref="Q456:S456"/>
    <mergeCell ref="Q457:S457"/>
    <mergeCell ref="Q458:S458"/>
    <mergeCell ref="Q459:S459"/>
    <mergeCell ref="Q460:S460"/>
    <mergeCell ref="Q469:S469"/>
    <mergeCell ref="Q470:S470"/>
    <mergeCell ref="Q471:S471"/>
    <mergeCell ref="Q472:S472"/>
    <mergeCell ref="Q473:S473"/>
    <mergeCell ref="Q465:S465"/>
    <mergeCell ref="Q478:S478"/>
    <mergeCell ref="Q479:S479"/>
    <mergeCell ref="Q480:S480"/>
    <mergeCell ref="Q454:S454"/>
    <mergeCell ref="Q455:S455"/>
    <mergeCell ref="Q445:S445"/>
    <mergeCell ref="Q446:S446"/>
    <mergeCell ref="Q447:S447"/>
    <mergeCell ref="Q448:S448"/>
    <mergeCell ref="Q449:S449"/>
    <mergeCell ref="Q439:S439"/>
    <mergeCell ref="Q440:S440"/>
    <mergeCell ref="Q441:S441"/>
    <mergeCell ref="Q442:S442"/>
    <mergeCell ref="Q443:S443"/>
    <mergeCell ref="Q434:S434"/>
    <mergeCell ref="Q435:S435"/>
    <mergeCell ref="Q436:S436"/>
    <mergeCell ref="Q437:S437"/>
    <mergeCell ref="Q438:S438"/>
    <mergeCell ref="Q413:S413"/>
    <mergeCell ref="Q414:S414"/>
    <mergeCell ref="Q415:S415"/>
    <mergeCell ref="Q416:S416"/>
    <mergeCell ref="Q417:S417"/>
    <mergeCell ref="Q408:S408"/>
    <mergeCell ref="Q409:S409"/>
    <mergeCell ref="Q410:S410"/>
    <mergeCell ref="Q411:S411"/>
    <mergeCell ref="Q412:S412"/>
    <mergeCell ref="Q403:S403"/>
    <mergeCell ref="Q404:S404"/>
    <mergeCell ref="Q405:S405"/>
    <mergeCell ref="Q406:S406"/>
    <mergeCell ref="Q407:S407"/>
    <mergeCell ref="Q433:S433"/>
    <mergeCell ref="Q428:S428"/>
    <mergeCell ref="Q429:S429"/>
    <mergeCell ref="Q430:S430"/>
    <mergeCell ref="Q431:S431"/>
    <mergeCell ref="Q432:S432"/>
    <mergeCell ref="Q423:S423"/>
    <mergeCell ref="Q424:S424"/>
    <mergeCell ref="Q425:S425"/>
    <mergeCell ref="Q426:S426"/>
    <mergeCell ref="Q427:S427"/>
    <mergeCell ref="Q418:S418"/>
    <mergeCell ref="Q419:S419"/>
    <mergeCell ref="Q420:S420"/>
    <mergeCell ref="Q421:S421"/>
    <mergeCell ref="Q422:S422"/>
    <mergeCell ref="Q398:S398"/>
    <mergeCell ref="Q399:S399"/>
    <mergeCell ref="Q400:S400"/>
    <mergeCell ref="Q401:S401"/>
    <mergeCell ref="Q402:S402"/>
    <mergeCell ref="Q393:S393"/>
    <mergeCell ref="Q394:S394"/>
    <mergeCell ref="Q395:S395"/>
    <mergeCell ref="Q396:S396"/>
    <mergeCell ref="Q397:S397"/>
    <mergeCell ref="Q388:S388"/>
    <mergeCell ref="Q389:S389"/>
    <mergeCell ref="Q390:S390"/>
    <mergeCell ref="Q391:S391"/>
    <mergeCell ref="Q392:S392"/>
    <mergeCell ref="Q383:S383"/>
    <mergeCell ref="Q384:S384"/>
    <mergeCell ref="Q385:S385"/>
    <mergeCell ref="Q386:S386"/>
    <mergeCell ref="Q387:S387"/>
    <mergeCell ref="Q374:S374"/>
    <mergeCell ref="Q380:S380"/>
    <mergeCell ref="Q379:S379"/>
    <mergeCell ref="Q381:S381"/>
    <mergeCell ref="Q382:S382"/>
    <mergeCell ref="Q369:S369"/>
    <mergeCell ref="Q370:S370"/>
    <mergeCell ref="Q371:S371"/>
    <mergeCell ref="Q372:S372"/>
    <mergeCell ref="Q373:S373"/>
    <mergeCell ref="Q364:S364"/>
    <mergeCell ref="Q365:S365"/>
    <mergeCell ref="Q366:S366"/>
    <mergeCell ref="Q367:S367"/>
    <mergeCell ref="Q368:S368"/>
    <mergeCell ref="Q357:S357"/>
    <mergeCell ref="Q358:S358"/>
    <mergeCell ref="Q359:S359"/>
    <mergeCell ref="Q362:S362"/>
    <mergeCell ref="Q363:S363"/>
    <mergeCell ref="Q352:S352"/>
    <mergeCell ref="Q353:S353"/>
    <mergeCell ref="Q354:S354"/>
    <mergeCell ref="Q355:S355"/>
    <mergeCell ref="Q356:S356"/>
    <mergeCell ref="Q346:S346"/>
    <mergeCell ref="Q347:S347"/>
    <mergeCell ref="Q349:S349"/>
    <mergeCell ref="Q350:S350"/>
    <mergeCell ref="Q351:S351"/>
    <mergeCell ref="Q341:S341"/>
    <mergeCell ref="Q342:S342"/>
    <mergeCell ref="Q343:S343"/>
    <mergeCell ref="Q344:S344"/>
    <mergeCell ref="Q345:S345"/>
    <mergeCell ref="Q336:S336"/>
    <mergeCell ref="Q337:S337"/>
    <mergeCell ref="Q338:S338"/>
    <mergeCell ref="Q339:S339"/>
    <mergeCell ref="Q340:S340"/>
    <mergeCell ref="Q348:S348"/>
    <mergeCell ref="Q331:S331"/>
    <mergeCell ref="Q332:S332"/>
    <mergeCell ref="Q333:S333"/>
    <mergeCell ref="Q334:S334"/>
    <mergeCell ref="Q335:S335"/>
    <mergeCell ref="Q326:S326"/>
    <mergeCell ref="Q327:S327"/>
    <mergeCell ref="Q328:S328"/>
    <mergeCell ref="Q329:S329"/>
    <mergeCell ref="Q330:S330"/>
    <mergeCell ref="Q320:S320"/>
    <mergeCell ref="Q322:S322"/>
    <mergeCell ref="Q323:S323"/>
    <mergeCell ref="Q324:S324"/>
    <mergeCell ref="Q325:S325"/>
    <mergeCell ref="Q312:S312"/>
    <mergeCell ref="Q314:S314"/>
    <mergeCell ref="Q315:S315"/>
    <mergeCell ref="Q317:S317"/>
    <mergeCell ref="Q319:S319"/>
    <mergeCell ref="Q306:S306"/>
    <mergeCell ref="Q308:S308"/>
    <mergeCell ref="Q309:S309"/>
    <mergeCell ref="Q310:S310"/>
    <mergeCell ref="Q311:S311"/>
    <mergeCell ref="Q307:S307"/>
    <mergeCell ref="Q316:S316"/>
    <mergeCell ref="Q318:S318"/>
    <mergeCell ref="Q313:S313"/>
    <mergeCell ref="Q321:S321"/>
    <mergeCell ref="Q301:S301"/>
    <mergeCell ref="Q302:S302"/>
    <mergeCell ref="Q303:S303"/>
    <mergeCell ref="Q304:S304"/>
    <mergeCell ref="Q305:S305"/>
    <mergeCell ref="Q296:S296"/>
    <mergeCell ref="Q297:S297"/>
    <mergeCell ref="Q298:S298"/>
    <mergeCell ref="Q299:S299"/>
    <mergeCell ref="Q300:S300"/>
    <mergeCell ref="Q291:S291"/>
    <mergeCell ref="Q292:S292"/>
    <mergeCell ref="Q293:S293"/>
    <mergeCell ref="Q294:S294"/>
    <mergeCell ref="Q295:S295"/>
    <mergeCell ref="Q286:S286"/>
    <mergeCell ref="Q287:S287"/>
    <mergeCell ref="Q288:S288"/>
    <mergeCell ref="Q289:S289"/>
    <mergeCell ref="Q290:S290"/>
    <mergeCell ref="Q278:S278"/>
    <mergeCell ref="Q279:S279"/>
    <mergeCell ref="Q280:S280"/>
    <mergeCell ref="Q281:S281"/>
    <mergeCell ref="Q285:S285"/>
    <mergeCell ref="Q273:S273"/>
    <mergeCell ref="Q274:S274"/>
    <mergeCell ref="Q275:S275"/>
    <mergeCell ref="Q276:S276"/>
    <mergeCell ref="Q277:S277"/>
    <mergeCell ref="Q282:S282"/>
    <mergeCell ref="Q283:S283"/>
    <mergeCell ref="Q268:S268"/>
    <mergeCell ref="Q269:S269"/>
    <mergeCell ref="Q270:S270"/>
    <mergeCell ref="Q271:S271"/>
    <mergeCell ref="Q272:S272"/>
    <mergeCell ref="Q263:S263"/>
    <mergeCell ref="Q264:S264"/>
    <mergeCell ref="Q265:S265"/>
    <mergeCell ref="Q266:S266"/>
    <mergeCell ref="Q267:S267"/>
    <mergeCell ref="Q258:S258"/>
    <mergeCell ref="Q259:S259"/>
    <mergeCell ref="Q260:S260"/>
    <mergeCell ref="Q261:S261"/>
    <mergeCell ref="Q262:S262"/>
    <mergeCell ref="Q252:S252"/>
    <mergeCell ref="Q253:S253"/>
    <mergeCell ref="Q254:S254"/>
    <mergeCell ref="Q255:S255"/>
    <mergeCell ref="Q257:S257"/>
    <mergeCell ref="Q222:S222"/>
    <mergeCell ref="Q223:S223"/>
    <mergeCell ref="Q224:S224"/>
    <mergeCell ref="Q225:S225"/>
    <mergeCell ref="Q229:S229"/>
    <mergeCell ref="Q237:S237"/>
    <mergeCell ref="Q216:S216"/>
    <mergeCell ref="Q217:S217"/>
    <mergeCell ref="Q218:S218"/>
    <mergeCell ref="Q219:S219"/>
    <mergeCell ref="Q220:S220"/>
    <mergeCell ref="Q247:S247"/>
    <mergeCell ref="Q248:S248"/>
    <mergeCell ref="Q249:S249"/>
    <mergeCell ref="Q250:S250"/>
    <mergeCell ref="Q251:S251"/>
    <mergeCell ref="Q243:S243"/>
    <mergeCell ref="Q244:S244"/>
    <mergeCell ref="Q245:S245"/>
    <mergeCell ref="Q246:S246"/>
    <mergeCell ref="Q238:S238"/>
    <mergeCell ref="Q239:S239"/>
    <mergeCell ref="Q240:S240"/>
    <mergeCell ref="Q241:S241"/>
    <mergeCell ref="Q242:S242"/>
    <mergeCell ref="Q232:S232"/>
    <mergeCell ref="Q233:S233"/>
    <mergeCell ref="Q234:S234"/>
    <mergeCell ref="Q235:S235"/>
    <mergeCell ref="Q236:S236"/>
    <mergeCell ref="Q68:S68"/>
    <mergeCell ref="Q201:S201"/>
    <mergeCell ref="Q203:S203"/>
    <mergeCell ref="Q204:S204"/>
    <mergeCell ref="Q205:S205"/>
    <mergeCell ref="Q192:S192"/>
    <mergeCell ref="Q193:S193"/>
    <mergeCell ref="Q194:S194"/>
    <mergeCell ref="Q196:S196"/>
    <mergeCell ref="Q202:S202"/>
    <mergeCell ref="Q187:S187"/>
    <mergeCell ref="Q188:S188"/>
    <mergeCell ref="Q189:S189"/>
    <mergeCell ref="Q190:S190"/>
    <mergeCell ref="Q191:S191"/>
    <mergeCell ref="Q182:S182"/>
    <mergeCell ref="Q183:S183"/>
    <mergeCell ref="Q184:S184"/>
    <mergeCell ref="Q185:S185"/>
    <mergeCell ref="Q186:S186"/>
    <mergeCell ref="Q173:S173"/>
    <mergeCell ref="Q174:S174"/>
    <mergeCell ref="Q175:S175"/>
    <mergeCell ref="Q72:S72"/>
    <mergeCell ref="Q73:S73"/>
    <mergeCell ref="Q74:S74"/>
    <mergeCell ref="Q98:S98"/>
    <mergeCell ref="Q84:S84"/>
    <mergeCell ref="Q104:S104"/>
    <mergeCell ref="Q105:S105"/>
    <mergeCell ref="Q122:S122"/>
    <mergeCell ref="Q125:S125"/>
    <mergeCell ref="H353:K353"/>
    <mergeCell ref="Q112:S112"/>
    <mergeCell ref="Q113:S113"/>
    <mergeCell ref="Q114:S114"/>
    <mergeCell ref="Q115:S115"/>
    <mergeCell ref="Q116:S116"/>
    <mergeCell ref="H336:K336"/>
    <mergeCell ref="H327:K327"/>
    <mergeCell ref="H328:K328"/>
    <mergeCell ref="H329:K329"/>
    <mergeCell ref="H330:K330"/>
    <mergeCell ref="H331:K331"/>
    <mergeCell ref="H322:K322"/>
    <mergeCell ref="H323:K323"/>
    <mergeCell ref="H324:K324"/>
    <mergeCell ref="H325:K325"/>
    <mergeCell ref="H326:K326"/>
    <mergeCell ref="Q211:S211"/>
    <mergeCell ref="Q212:S212"/>
    <mergeCell ref="Q213:S213"/>
    <mergeCell ref="Q214:S214"/>
    <mergeCell ref="Q215:S215"/>
    <mergeCell ref="Q207:S207"/>
    <mergeCell ref="Q208:S208"/>
    <mergeCell ref="Q209:S209"/>
    <mergeCell ref="Q210:S210"/>
    <mergeCell ref="Q226:S226"/>
    <mergeCell ref="Q227:S227"/>
    <mergeCell ref="Q228:S228"/>
    <mergeCell ref="Q230:S230"/>
    <mergeCell ref="Q231:S231"/>
    <mergeCell ref="Q221:S221"/>
    <mergeCell ref="Q206:S206"/>
    <mergeCell ref="Q139:S139"/>
    <mergeCell ref="Q140:S140"/>
    <mergeCell ref="Q141:S141"/>
    <mergeCell ref="Q142:S142"/>
    <mergeCell ref="Q178:S178"/>
    <mergeCell ref="Q179:S179"/>
    <mergeCell ref="Q180:S180"/>
    <mergeCell ref="Q181:S181"/>
    <mergeCell ref="Q166:S166"/>
    <mergeCell ref="Q167:S167"/>
    <mergeCell ref="H150:K150"/>
    <mergeCell ref="H138:K138"/>
    <mergeCell ref="H139:K139"/>
    <mergeCell ref="H140:K140"/>
    <mergeCell ref="H141:K141"/>
    <mergeCell ref="H142:K142"/>
    <mergeCell ref="Q176:S176"/>
    <mergeCell ref="Q177:S177"/>
    <mergeCell ref="Q168:S168"/>
    <mergeCell ref="Q169:S169"/>
    <mergeCell ref="Q172:S172"/>
    <mergeCell ref="Q161:S161"/>
    <mergeCell ref="Q162:S162"/>
    <mergeCell ref="Q163:S163"/>
    <mergeCell ref="Q164:S164"/>
    <mergeCell ref="Q165:S165"/>
    <mergeCell ref="Q156:S156"/>
    <mergeCell ref="Q157:S157"/>
    <mergeCell ref="Q158:S158"/>
    <mergeCell ref="Q159:S159"/>
    <mergeCell ref="Q160:S160"/>
    <mergeCell ref="H354:K354"/>
    <mergeCell ref="H355:K355"/>
    <mergeCell ref="H356:K356"/>
    <mergeCell ref="H357:K357"/>
    <mergeCell ref="H347:K347"/>
    <mergeCell ref="H349:K349"/>
    <mergeCell ref="H350:K350"/>
    <mergeCell ref="H351:K351"/>
    <mergeCell ref="H352:K352"/>
    <mergeCell ref="H342:K342"/>
    <mergeCell ref="H343:K343"/>
    <mergeCell ref="H344:K344"/>
    <mergeCell ref="Q117:S117"/>
    <mergeCell ref="Q118:S118"/>
    <mergeCell ref="Q119:S119"/>
    <mergeCell ref="Q120:S120"/>
    <mergeCell ref="Q121:S121"/>
    <mergeCell ref="H117:K117"/>
    <mergeCell ref="H118:K118"/>
    <mergeCell ref="H119:K119"/>
    <mergeCell ref="H120:K120"/>
    <mergeCell ref="H345:K345"/>
    <mergeCell ref="H346:K346"/>
    <mergeCell ref="H337:K337"/>
    <mergeCell ref="H338:K338"/>
    <mergeCell ref="H339:K339"/>
    <mergeCell ref="H340:K340"/>
    <mergeCell ref="H341:K341"/>
    <mergeCell ref="H332:K332"/>
    <mergeCell ref="H333:K333"/>
    <mergeCell ref="H334:K334"/>
    <mergeCell ref="H335:K335"/>
    <mergeCell ref="H1046:K1046"/>
    <mergeCell ref="H1047:K1047"/>
    <mergeCell ref="H1049:K1049"/>
    <mergeCell ref="H1050:K1050"/>
    <mergeCell ref="H1052:K1052"/>
    <mergeCell ref="H1041:K1041"/>
    <mergeCell ref="H1042:K1042"/>
    <mergeCell ref="H1043:K1043"/>
    <mergeCell ref="H1044:K1044"/>
    <mergeCell ref="H1045:K1045"/>
    <mergeCell ref="H1036:K1036"/>
    <mergeCell ref="H1037:K1037"/>
    <mergeCell ref="H1038:K1038"/>
    <mergeCell ref="H1039:K1039"/>
    <mergeCell ref="H1040:K1040"/>
    <mergeCell ref="H1029:K1029"/>
    <mergeCell ref="H1030:K1030"/>
    <mergeCell ref="H1032:K1032"/>
    <mergeCell ref="H1033:K1033"/>
    <mergeCell ref="H1035:K1035"/>
    <mergeCell ref="H1051:K1051"/>
    <mergeCell ref="H1034:K1034"/>
    <mergeCell ref="H1031:K1031"/>
    <mergeCell ref="H1048:K1048"/>
    <mergeCell ref="H1027:K1027"/>
    <mergeCell ref="H1028:K1028"/>
    <mergeCell ref="H1018:K1018"/>
    <mergeCell ref="H1019:K1019"/>
    <mergeCell ref="H1020:K1020"/>
    <mergeCell ref="H1021:K1021"/>
    <mergeCell ref="H1022:K1022"/>
    <mergeCell ref="H1013:K1013"/>
    <mergeCell ref="H1014:K1014"/>
    <mergeCell ref="H1015:K1015"/>
    <mergeCell ref="H1016:K1016"/>
    <mergeCell ref="H1017:K1017"/>
    <mergeCell ref="H1006:K1006"/>
    <mergeCell ref="H1007:K1007"/>
    <mergeCell ref="H1010:K1010"/>
    <mergeCell ref="H1011:K1011"/>
    <mergeCell ref="H1012:K1012"/>
    <mergeCell ref="H1023:K1023"/>
    <mergeCell ref="H1024:K1024"/>
    <mergeCell ref="H1026:K1026"/>
    <mergeCell ref="H1008:K1008"/>
    <mergeCell ref="H1025:K1025"/>
    <mergeCell ref="H1001:K1001"/>
    <mergeCell ref="H1002:K1002"/>
    <mergeCell ref="H1003:K1003"/>
    <mergeCell ref="H1004:K1004"/>
    <mergeCell ref="H1005:K1005"/>
    <mergeCell ref="H995:K995"/>
    <mergeCell ref="H996:K996"/>
    <mergeCell ref="H997:K997"/>
    <mergeCell ref="H999:K999"/>
    <mergeCell ref="H1000:K1000"/>
    <mergeCell ref="H990:K990"/>
    <mergeCell ref="H991:K991"/>
    <mergeCell ref="H992:K992"/>
    <mergeCell ref="H993:K993"/>
    <mergeCell ref="H994:K994"/>
    <mergeCell ref="H985:K985"/>
    <mergeCell ref="H986:K986"/>
    <mergeCell ref="H987:K987"/>
    <mergeCell ref="H988:K988"/>
    <mergeCell ref="H989:K989"/>
    <mergeCell ref="H998:K998"/>
    <mergeCell ref="H980:K980"/>
    <mergeCell ref="H981:K981"/>
    <mergeCell ref="H982:K982"/>
    <mergeCell ref="H983:K983"/>
    <mergeCell ref="H984:K984"/>
    <mergeCell ref="H974:K974"/>
    <mergeCell ref="H976:K976"/>
    <mergeCell ref="H977:K977"/>
    <mergeCell ref="H978:K978"/>
    <mergeCell ref="H979:K979"/>
    <mergeCell ref="H969:K969"/>
    <mergeCell ref="H970:K970"/>
    <mergeCell ref="H971:K971"/>
    <mergeCell ref="H972:K972"/>
    <mergeCell ref="H973:K973"/>
    <mergeCell ref="H958:K958"/>
    <mergeCell ref="H962:K962"/>
    <mergeCell ref="H965:K965"/>
    <mergeCell ref="H966:K966"/>
    <mergeCell ref="H968:K968"/>
    <mergeCell ref="H964:K964"/>
    <mergeCell ref="H963:K963"/>
    <mergeCell ref="H967:K967"/>
    <mergeCell ref="H975:K975"/>
    <mergeCell ref="H959:K959"/>
    <mergeCell ref="H961:K961"/>
    <mergeCell ref="H960:K960"/>
    <mergeCell ref="H952:K952"/>
    <mergeCell ref="H953:K953"/>
    <mergeCell ref="H955:K955"/>
    <mergeCell ref="H956:K956"/>
    <mergeCell ref="H957:K957"/>
    <mergeCell ref="H941:K941"/>
    <mergeCell ref="H944:K944"/>
    <mergeCell ref="H945:K945"/>
    <mergeCell ref="H949:K949"/>
    <mergeCell ref="H951:K951"/>
    <mergeCell ref="H936:K936"/>
    <mergeCell ref="H937:K937"/>
    <mergeCell ref="H938:K938"/>
    <mergeCell ref="H939:K939"/>
    <mergeCell ref="H940:K940"/>
    <mergeCell ref="H924:K924"/>
    <mergeCell ref="H930:K930"/>
    <mergeCell ref="H932:K932"/>
    <mergeCell ref="H933:K933"/>
    <mergeCell ref="H935:K935"/>
    <mergeCell ref="H929:K929"/>
    <mergeCell ref="H931:K931"/>
    <mergeCell ref="H934:K934"/>
    <mergeCell ref="H954:K954"/>
    <mergeCell ref="H943:K943"/>
    <mergeCell ref="H946:K946"/>
    <mergeCell ref="H947:K947"/>
    <mergeCell ref="H925:K925"/>
    <mergeCell ref="H942:K942"/>
    <mergeCell ref="H948:K948"/>
    <mergeCell ref="H950:K950"/>
    <mergeCell ref="H919:K919"/>
    <mergeCell ref="H920:K920"/>
    <mergeCell ref="H921:K921"/>
    <mergeCell ref="H922:K922"/>
    <mergeCell ref="H923:K923"/>
    <mergeCell ref="H911:K911"/>
    <mergeCell ref="H912:K912"/>
    <mergeCell ref="H914:K914"/>
    <mergeCell ref="H916:K916"/>
    <mergeCell ref="H917:K917"/>
    <mergeCell ref="H906:K906"/>
    <mergeCell ref="H907:K907"/>
    <mergeCell ref="H908:K908"/>
    <mergeCell ref="H909:K909"/>
    <mergeCell ref="H910:K910"/>
    <mergeCell ref="H901:K901"/>
    <mergeCell ref="H902:K902"/>
    <mergeCell ref="H903:K903"/>
    <mergeCell ref="H904:K904"/>
    <mergeCell ref="H905:K905"/>
    <mergeCell ref="H913:K913"/>
    <mergeCell ref="H915:K915"/>
    <mergeCell ref="H896:K896"/>
    <mergeCell ref="H897:K897"/>
    <mergeCell ref="H898:K898"/>
    <mergeCell ref="H899:K899"/>
    <mergeCell ref="H900:K900"/>
    <mergeCell ref="H890:K890"/>
    <mergeCell ref="H891:K891"/>
    <mergeCell ref="H892:K892"/>
    <mergeCell ref="H893:K893"/>
    <mergeCell ref="H894:K894"/>
    <mergeCell ref="H881:K881"/>
    <mergeCell ref="H882:K882"/>
    <mergeCell ref="H883:K883"/>
    <mergeCell ref="H884:K884"/>
    <mergeCell ref="H886:K886"/>
    <mergeCell ref="H870:K870"/>
    <mergeCell ref="H871:K871"/>
    <mergeCell ref="H873:K873"/>
    <mergeCell ref="H879:K879"/>
    <mergeCell ref="H880:K880"/>
    <mergeCell ref="H895:K895"/>
    <mergeCell ref="H888:K888"/>
    <mergeCell ref="H875:K875"/>
    <mergeCell ref="H874:K874"/>
    <mergeCell ref="H876:K876"/>
    <mergeCell ref="H877:K877"/>
    <mergeCell ref="H878:K878"/>
    <mergeCell ref="H885:K885"/>
    <mergeCell ref="H864:K864"/>
    <mergeCell ref="H866:K866"/>
    <mergeCell ref="H868:K868"/>
    <mergeCell ref="H869:K869"/>
    <mergeCell ref="H859:K859"/>
    <mergeCell ref="H860:K860"/>
    <mergeCell ref="H861:K861"/>
    <mergeCell ref="H862:K862"/>
    <mergeCell ref="H863:K863"/>
    <mergeCell ref="H854:K854"/>
    <mergeCell ref="H855:K855"/>
    <mergeCell ref="H856:K856"/>
    <mergeCell ref="H857:K857"/>
    <mergeCell ref="H858:K858"/>
    <mergeCell ref="H846:K846"/>
    <mergeCell ref="H847:K847"/>
    <mergeCell ref="H849:K849"/>
    <mergeCell ref="H851:K851"/>
    <mergeCell ref="H853:K853"/>
    <mergeCell ref="H850:K850"/>
    <mergeCell ref="H852:K852"/>
    <mergeCell ref="H865:K865"/>
    <mergeCell ref="H848:K848"/>
    <mergeCell ref="H839:K839"/>
    <mergeCell ref="H842:K842"/>
    <mergeCell ref="H843:K843"/>
    <mergeCell ref="H844:K844"/>
    <mergeCell ref="H845:K845"/>
    <mergeCell ref="H832:K832"/>
    <mergeCell ref="H833:K833"/>
    <mergeCell ref="H835:K835"/>
    <mergeCell ref="H836:K836"/>
    <mergeCell ref="H837:K837"/>
    <mergeCell ref="H827:K827"/>
    <mergeCell ref="H828:K828"/>
    <mergeCell ref="H829:K829"/>
    <mergeCell ref="H830:K830"/>
    <mergeCell ref="H831:K831"/>
    <mergeCell ref="H822:K822"/>
    <mergeCell ref="H823:K823"/>
    <mergeCell ref="H824:K824"/>
    <mergeCell ref="H825:K825"/>
    <mergeCell ref="H826:K826"/>
    <mergeCell ref="H838:K838"/>
    <mergeCell ref="H840:K840"/>
    <mergeCell ref="H817:K817"/>
    <mergeCell ref="H818:K818"/>
    <mergeCell ref="H819:K819"/>
    <mergeCell ref="H820:K820"/>
    <mergeCell ref="H821:K821"/>
    <mergeCell ref="H812:K812"/>
    <mergeCell ref="H813:K813"/>
    <mergeCell ref="H814:K814"/>
    <mergeCell ref="H815:K815"/>
    <mergeCell ref="H816:K816"/>
    <mergeCell ref="H807:K807"/>
    <mergeCell ref="H808:K808"/>
    <mergeCell ref="H809:K809"/>
    <mergeCell ref="H810:K810"/>
    <mergeCell ref="H811:K811"/>
    <mergeCell ref="H802:K802"/>
    <mergeCell ref="H803:K803"/>
    <mergeCell ref="H804:K804"/>
    <mergeCell ref="H805:K805"/>
    <mergeCell ref="H806:K806"/>
    <mergeCell ref="H762:K762"/>
    <mergeCell ref="H797:K797"/>
    <mergeCell ref="H798:K798"/>
    <mergeCell ref="H799:K799"/>
    <mergeCell ref="H800:K800"/>
    <mergeCell ref="H801:K801"/>
    <mergeCell ref="H791:K791"/>
    <mergeCell ref="H792:K792"/>
    <mergeCell ref="H795:K795"/>
    <mergeCell ref="H796:K796"/>
    <mergeCell ref="H786:K786"/>
    <mergeCell ref="H787:K787"/>
    <mergeCell ref="H788:K788"/>
    <mergeCell ref="H789:K789"/>
    <mergeCell ref="H790:K790"/>
    <mergeCell ref="H781:K781"/>
    <mergeCell ref="H782:K782"/>
    <mergeCell ref="H783:K783"/>
    <mergeCell ref="H784:K784"/>
    <mergeCell ref="H785:K785"/>
    <mergeCell ref="H793:K793"/>
    <mergeCell ref="H794:K794"/>
    <mergeCell ref="H700:K700"/>
    <mergeCell ref="H702:K702"/>
    <mergeCell ref="H748:K748"/>
    <mergeCell ref="H775:K775"/>
    <mergeCell ref="H777:K777"/>
    <mergeCell ref="H778:K778"/>
    <mergeCell ref="H731:K731"/>
    <mergeCell ref="H751:K751"/>
    <mergeCell ref="H752:K752"/>
    <mergeCell ref="H753:K753"/>
    <mergeCell ref="H754:K754"/>
    <mergeCell ref="H755:K755"/>
    <mergeCell ref="H743:K743"/>
    <mergeCell ref="H745:K745"/>
    <mergeCell ref="H746:K746"/>
    <mergeCell ref="H779:K779"/>
    <mergeCell ref="H780:K780"/>
    <mergeCell ref="H770:K770"/>
    <mergeCell ref="H771:K771"/>
    <mergeCell ref="H772:K772"/>
    <mergeCell ref="H773:K773"/>
    <mergeCell ref="H774:K774"/>
    <mergeCell ref="H765:K765"/>
    <mergeCell ref="H766:K766"/>
    <mergeCell ref="H767:K767"/>
    <mergeCell ref="H768:K768"/>
    <mergeCell ref="H769:K769"/>
    <mergeCell ref="H756:K756"/>
    <mergeCell ref="H757:K757"/>
    <mergeCell ref="H758:K758"/>
    <mergeCell ref="H763:K763"/>
    <mergeCell ref="H764:K764"/>
    <mergeCell ref="H686:K686"/>
    <mergeCell ref="H672:K672"/>
    <mergeCell ref="H711:K711"/>
    <mergeCell ref="H713:K713"/>
    <mergeCell ref="H714:K714"/>
    <mergeCell ref="H715:K715"/>
    <mergeCell ref="H719:K719"/>
    <mergeCell ref="H691:K691"/>
    <mergeCell ref="H693:K693"/>
    <mergeCell ref="H698:K698"/>
    <mergeCell ref="H701:K701"/>
    <mergeCell ref="H710:K710"/>
    <mergeCell ref="H685:K685"/>
    <mergeCell ref="H687:K687"/>
    <mergeCell ref="H688:K688"/>
    <mergeCell ref="H689:K689"/>
    <mergeCell ref="H690:K690"/>
    <mergeCell ref="H680:K680"/>
    <mergeCell ref="H681:K681"/>
    <mergeCell ref="H682:K682"/>
    <mergeCell ref="H683:K683"/>
    <mergeCell ref="H684:K684"/>
    <mergeCell ref="H696:K696"/>
    <mergeCell ref="H697:K697"/>
    <mergeCell ref="H712:K712"/>
    <mergeCell ref="H717:K717"/>
    <mergeCell ref="H704:K704"/>
    <mergeCell ref="H705:K705"/>
    <mergeCell ref="H706:K706"/>
    <mergeCell ref="H699:K699"/>
    <mergeCell ref="H716:K716"/>
    <mergeCell ref="H718:K718"/>
    <mergeCell ref="H670:K670"/>
    <mergeCell ref="H671:K671"/>
    <mergeCell ref="H673:K673"/>
    <mergeCell ref="H678:K678"/>
    <mergeCell ref="H679:K679"/>
    <mergeCell ref="H665:K665"/>
    <mergeCell ref="H666:K666"/>
    <mergeCell ref="H667:K667"/>
    <mergeCell ref="H668:K668"/>
    <mergeCell ref="H669:K669"/>
    <mergeCell ref="H660:K660"/>
    <mergeCell ref="H661:K661"/>
    <mergeCell ref="H662:K662"/>
    <mergeCell ref="H663:K663"/>
    <mergeCell ref="H664:K664"/>
    <mergeCell ref="H655:K655"/>
    <mergeCell ref="H656:K656"/>
    <mergeCell ref="H657:K657"/>
    <mergeCell ref="H658:K658"/>
    <mergeCell ref="H659:K659"/>
    <mergeCell ref="H674:K674"/>
    <mergeCell ref="H676:K676"/>
    <mergeCell ref="H651:K651"/>
    <mergeCell ref="H652:K652"/>
    <mergeCell ref="H653:K653"/>
    <mergeCell ref="H654:K654"/>
    <mergeCell ref="H645:K645"/>
    <mergeCell ref="H646:K646"/>
    <mergeCell ref="H647:K647"/>
    <mergeCell ref="H648:K648"/>
    <mergeCell ref="H649:K649"/>
    <mergeCell ref="H638:K638"/>
    <mergeCell ref="H640:K640"/>
    <mergeCell ref="H641:K641"/>
    <mergeCell ref="H642:K642"/>
    <mergeCell ref="H643:K643"/>
    <mergeCell ref="H631:K631"/>
    <mergeCell ref="H632:K632"/>
    <mergeCell ref="H633:K633"/>
    <mergeCell ref="H635:K635"/>
    <mergeCell ref="H636:K636"/>
    <mergeCell ref="H639:K639"/>
    <mergeCell ref="H634:K634"/>
    <mergeCell ref="H625:K625"/>
    <mergeCell ref="H626:K626"/>
    <mergeCell ref="H627:K627"/>
    <mergeCell ref="H629:K629"/>
    <mergeCell ref="H618:K618"/>
    <mergeCell ref="H619:K619"/>
    <mergeCell ref="H620:K620"/>
    <mergeCell ref="H621:K621"/>
    <mergeCell ref="H623:K623"/>
    <mergeCell ref="H609:K609"/>
    <mergeCell ref="H610:K610"/>
    <mergeCell ref="H615:K615"/>
    <mergeCell ref="H616:K616"/>
    <mergeCell ref="H617:K617"/>
    <mergeCell ref="H614:K614"/>
    <mergeCell ref="H650:K650"/>
    <mergeCell ref="H624:K624"/>
    <mergeCell ref="H630:K630"/>
    <mergeCell ref="H628:K628"/>
    <mergeCell ref="H622:K622"/>
    <mergeCell ref="H612:K612"/>
    <mergeCell ref="H584:K584"/>
    <mergeCell ref="H601:K601"/>
    <mergeCell ref="H602:K602"/>
    <mergeCell ref="H603:K603"/>
    <mergeCell ref="H607:K607"/>
    <mergeCell ref="H608:K608"/>
    <mergeCell ref="H596:K596"/>
    <mergeCell ref="H597:K597"/>
    <mergeCell ref="H598:K598"/>
    <mergeCell ref="H599:K599"/>
    <mergeCell ref="H600:K600"/>
    <mergeCell ref="H591:K591"/>
    <mergeCell ref="H592:K592"/>
    <mergeCell ref="H593:K593"/>
    <mergeCell ref="H594:K594"/>
    <mergeCell ref="H595:K595"/>
    <mergeCell ref="H589:K589"/>
    <mergeCell ref="H590:K590"/>
    <mergeCell ref="H587:K587"/>
    <mergeCell ref="H588:K588"/>
    <mergeCell ref="H606:K606"/>
    <mergeCell ref="H604:K604"/>
    <mergeCell ref="H581:K581"/>
    <mergeCell ref="H582:K582"/>
    <mergeCell ref="H583:K583"/>
    <mergeCell ref="H576:K576"/>
    <mergeCell ref="H577:K577"/>
    <mergeCell ref="H578:K578"/>
    <mergeCell ref="H579:K579"/>
    <mergeCell ref="H580:K580"/>
    <mergeCell ref="H561:K561"/>
    <mergeCell ref="H562:K562"/>
    <mergeCell ref="H572:K572"/>
    <mergeCell ref="H574:K574"/>
    <mergeCell ref="H575:K575"/>
    <mergeCell ref="H556:K556"/>
    <mergeCell ref="H557:K557"/>
    <mergeCell ref="H558:K558"/>
    <mergeCell ref="H559:K559"/>
    <mergeCell ref="H560:K560"/>
    <mergeCell ref="H563:K563"/>
    <mergeCell ref="H564:K564"/>
    <mergeCell ref="H565:K565"/>
    <mergeCell ref="H566:K566"/>
    <mergeCell ref="H567:K567"/>
    <mergeCell ref="H568:K568"/>
    <mergeCell ref="H570:K570"/>
    <mergeCell ref="H571:K571"/>
    <mergeCell ref="H540:K540"/>
    <mergeCell ref="H541:K541"/>
    <mergeCell ref="H542:K542"/>
    <mergeCell ref="H543:K543"/>
    <mergeCell ref="H525:K525"/>
    <mergeCell ref="H526:K526"/>
    <mergeCell ref="H533:K533"/>
    <mergeCell ref="H535:K535"/>
    <mergeCell ref="H537:K537"/>
    <mergeCell ref="H528:K528"/>
    <mergeCell ref="H529:K529"/>
    <mergeCell ref="H531:K531"/>
    <mergeCell ref="H532:K532"/>
    <mergeCell ref="H534:K534"/>
    <mergeCell ref="H538:K538"/>
    <mergeCell ref="H552:K552"/>
    <mergeCell ref="H550:K550"/>
    <mergeCell ref="H530:K530"/>
    <mergeCell ref="H536:K536"/>
    <mergeCell ref="H545:K545"/>
    <mergeCell ref="H546:K546"/>
    <mergeCell ref="H547:K547"/>
    <mergeCell ref="H548:K548"/>
    <mergeCell ref="H539:K539"/>
    <mergeCell ref="H484:K484"/>
    <mergeCell ref="H486:K486"/>
    <mergeCell ref="H487:K487"/>
    <mergeCell ref="H488:K488"/>
    <mergeCell ref="H489:K489"/>
    <mergeCell ref="H479:K479"/>
    <mergeCell ref="H480:K480"/>
    <mergeCell ref="H481:K481"/>
    <mergeCell ref="H482:K482"/>
    <mergeCell ref="H483:K483"/>
    <mergeCell ref="H519:K519"/>
    <mergeCell ref="H521:K521"/>
    <mergeCell ref="H522:K522"/>
    <mergeCell ref="H523:K523"/>
    <mergeCell ref="H524:K524"/>
    <mergeCell ref="H514:K514"/>
    <mergeCell ref="H515:K515"/>
    <mergeCell ref="H516:K516"/>
    <mergeCell ref="H517:K517"/>
    <mergeCell ref="H518:K518"/>
    <mergeCell ref="H509:K509"/>
    <mergeCell ref="H510:K510"/>
    <mergeCell ref="H511:K511"/>
    <mergeCell ref="H512:K512"/>
    <mergeCell ref="H513:K513"/>
    <mergeCell ref="H501:K501"/>
    <mergeCell ref="H503:K503"/>
    <mergeCell ref="H504:K504"/>
    <mergeCell ref="H507:K507"/>
    <mergeCell ref="H508:K508"/>
    <mergeCell ref="H505:K505"/>
    <mergeCell ref="H506:K506"/>
    <mergeCell ref="H468:K468"/>
    <mergeCell ref="H475:K475"/>
    <mergeCell ref="H476:K476"/>
    <mergeCell ref="H477:K477"/>
    <mergeCell ref="H478:K478"/>
    <mergeCell ref="H462:K462"/>
    <mergeCell ref="H463:K463"/>
    <mergeCell ref="H464:K464"/>
    <mergeCell ref="H466:K466"/>
    <mergeCell ref="H467:K467"/>
    <mergeCell ref="H457:K457"/>
    <mergeCell ref="H458:K458"/>
    <mergeCell ref="H459:K459"/>
    <mergeCell ref="H460:K460"/>
    <mergeCell ref="H461:K461"/>
    <mergeCell ref="H447:K447"/>
    <mergeCell ref="H448:K448"/>
    <mergeCell ref="H449:K449"/>
    <mergeCell ref="H455:K455"/>
    <mergeCell ref="H456:K456"/>
    <mergeCell ref="H452:K452"/>
    <mergeCell ref="H454:K454"/>
    <mergeCell ref="H469:K469"/>
    <mergeCell ref="H470:K470"/>
    <mergeCell ref="H471:K471"/>
    <mergeCell ref="H472:K472"/>
    <mergeCell ref="H473:K473"/>
    <mergeCell ref="H465:K465"/>
    <mergeCell ref="H441:K441"/>
    <mergeCell ref="H442:K442"/>
    <mergeCell ref="H443:K443"/>
    <mergeCell ref="H445:K445"/>
    <mergeCell ref="H446:K446"/>
    <mergeCell ref="H436:K436"/>
    <mergeCell ref="H437:K437"/>
    <mergeCell ref="H438:K438"/>
    <mergeCell ref="H439:K439"/>
    <mergeCell ref="H440:K440"/>
    <mergeCell ref="H430:K430"/>
    <mergeCell ref="H431:K431"/>
    <mergeCell ref="H432:K432"/>
    <mergeCell ref="H434:K434"/>
    <mergeCell ref="H435:K435"/>
    <mergeCell ref="H425:K425"/>
    <mergeCell ref="H426:K426"/>
    <mergeCell ref="H427:K427"/>
    <mergeCell ref="H428:K428"/>
    <mergeCell ref="H429:K429"/>
    <mergeCell ref="H433:K433"/>
    <mergeCell ref="H420:K420"/>
    <mergeCell ref="H421:K421"/>
    <mergeCell ref="H422:K422"/>
    <mergeCell ref="H423:K423"/>
    <mergeCell ref="H424:K424"/>
    <mergeCell ref="H415:K415"/>
    <mergeCell ref="H416:K416"/>
    <mergeCell ref="H417:K417"/>
    <mergeCell ref="H418:K418"/>
    <mergeCell ref="H419:K419"/>
    <mergeCell ref="H410:K410"/>
    <mergeCell ref="H411:K411"/>
    <mergeCell ref="H412:K412"/>
    <mergeCell ref="H413:K413"/>
    <mergeCell ref="H414:K414"/>
    <mergeCell ref="H405:K405"/>
    <mergeCell ref="H406:K406"/>
    <mergeCell ref="H407:K407"/>
    <mergeCell ref="H408:K408"/>
    <mergeCell ref="H409:K409"/>
    <mergeCell ref="H400:K400"/>
    <mergeCell ref="H401:K401"/>
    <mergeCell ref="H402:K402"/>
    <mergeCell ref="H403:K403"/>
    <mergeCell ref="H404:K404"/>
    <mergeCell ref="H395:K395"/>
    <mergeCell ref="H396:K396"/>
    <mergeCell ref="H397:K397"/>
    <mergeCell ref="H398:K398"/>
    <mergeCell ref="H399:K399"/>
    <mergeCell ref="H390:K390"/>
    <mergeCell ref="H391:K391"/>
    <mergeCell ref="H392:K392"/>
    <mergeCell ref="H393:K393"/>
    <mergeCell ref="H394:K394"/>
    <mergeCell ref="H385:K385"/>
    <mergeCell ref="H386:K386"/>
    <mergeCell ref="H387:K387"/>
    <mergeCell ref="H388:K388"/>
    <mergeCell ref="H389:K389"/>
    <mergeCell ref="H380:K380"/>
    <mergeCell ref="H381:K381"/>
    <mergeCell ref="H382:K382"/>
    <mergeCell ref="H383:K383"/>
    <mergeCell ref="H384:K384"/>
    <mergeCell ref="H370:K370"/>
    <mergeCell ref="H371:K371"/>
    <mergeCell ref="H372:K372"/>
    <mergeCell ref="H373:K373"/>
    <mergeCell ref="H374:K374"/>
    <mergeCell ref="H365:K365"/>
    <mergeCell ref="H366:K366"/>
    <mergeCell ref="H367:K367"/>
    <mergeCell ref="H368:K368"/>
    <mergeCell ref="H369:K369"/>
    <mergeCell ref="H358:K358"/>
    <mergeCell ref="H359:K359"/>
    <mergeCell ref="H363:K363"/>
    <mergeCell ref="H364:K364"/>
    <mergeCell ref="H362:K362"/>
    <mergeCell ref="H379:K379"/>
    <mergeCell ref="H378:K378"/>
    <mergeCell ref="H315:K315"/>
    <mergeCell ref="H317:K317"/>
    <mergeCell ref="H319:K319"/>
    <mergeCell ref="H320:K320"/>
    <mergeCell ref="H308:K308"/>
    <mergeCell ref="H309:K309"/>
    <mergeCell ref="H310:K310"/>
    <mergeCell ref="H311:K311"/>
    <mergeCell ref="H312:K312"/>
    <mergeCell ref="H302:K302"/>
    <mergeCell ref="H303:K303"/>
    <mergeCell ref="H304:K304"/>
    <mergeCell ref="H305:K305"/>
    <mergeCell ref="H306:K306"/>
    <mergeCell ref="H297:K297"/>
    <mergeCell ref="H298:K298"/>
    <mergeCell ref="H299:K299"/>
    <mergeCell ref="H300:K300"/>
    <mergeCell ref="H301:K301"/>
    <mergeCell ref="H288:K288"/>
    <mergeCell ref="H289:K289"/>
    <mergeCell ref="H290:K290"/>
    <mergeCell ref="H291:K291"/>
    <mergeCell ref="H279:K279"/>
    <mergeCell ref="H280:K280"/>
    <mergeCell ref="H281:K281"/>
    <mergeCell ref="H285:K285"/>
    <mergeCell ref="H286:K286"/>
    <mergeCell ref="H274:K274"/>
    <mergeCell ref="H275:K275"/>
    <mergeCell ref="H276:K276"/>
    <mergeCell ref="H277:K277"/>
    <mergeCell ref="H278:K278"/>
    <mergeCell ref="H282:K282"/>
    <mergeCell ref="H283:K283"/>
    <mergeCell ref="H314:K314"/>
    <mergeCell ref="Q107:S107"/>
    <mergeCell ref="Q108:S108"/>
    <mergeCell ref="Q109:S109"/>
    <mergeCell ref="Q110:S110"/>
    <mergeCell ref="Q111:S111"/>
    <mergeCell ref="Q103:S103"/>
    <mergeCell ref="H111:K111"/>
    <mergeCell ref="H112:K112"/>
    <mergeCell ref="H113:K113"/>
    <mergeCell ref="H114:K114"/>
    <mergeCell ref="Q151:S151"/>
    <mergeCell ref="Q152:S152"/>
    <mergeCell ref="Q153:S153"/>
    <mergeCell ref="Q154:S154"/>
    <mergeCell ref="Q155:S155"/>
    <mergeCell ref="H156:K156"/>
    <mergeCell ref="H157:K157"/>
    <mergeCell ref="Q143:S143"/>
    <mergeCell ref="Q144:S144"/>
    <mergeCell ref="Q148:S148"/>
    <mergeCell ref="Q149:S149"/>
    <mergeCell ref="Q150:S150"/>
    <mergeCell ref="Q135:S135"/>
    <mergeCell ref="H147:K147"/>
    <mergeCell ref="H136:K136"/>
    <mergeCell ref="Q123:S123"/>
    <mergeCell ref="Q124:S124"/>
    <mergeCell ref="H69:K69"/>
    <mergeCell ref="H68:K68"/>
    <mergeCell ref="H70:K70"/>
    <mergeCell ref="P1070:S1070"/>
    <mergeCell ref="P1060:S1060"/>
    <mergeCell ref="H137:K137"/>
    <mergeCell ref="H126:K126"/>
    <mergeCell ref="H127:K127"/>
    <mergeCell ref="H128:K128"/>
    <mergeCell ref="H129:K129"/>
    <mergeCell ref="H135:K135"/>
    <mergeCell ref="H166:K166"/>
    <mergeCell ref="H167:K167"/>
    <mergeCell ref="H168:K168"/>
    <mergeCell ref="H169:K169"/>
    <mergeCell ref="H170:K170"/>
    <mergeCell ref="H161:K161"/>
    <mergeCell ref="Q146:S146"/>
    <mergeCell ref="H123:K123"/>
    <mergeCell ref="H124:K124"/>
    <mergeCell ref="H125:K125"/>
    <mergeCell ref="H143:K143"/>
    <mergeCell ref="H144:K144"/>
    <mergeCell ref="H148:K148"/>
    <mergeCell ref="H149:K149"/>
    <mergeCell ref="H248:K248"/>
    <mergeCell ref="H249:K249"/>
    <mergeCell ref="H250:K250"/>
    <mergeCell ref="H251:K251"/>
    <mergeCell ref="H252:K252"/>
    <mergeCell ref="H244:K244"/>
    <mergeCell ref="H245:K245"/>
    <mergeCell ref="L101:M101"/>
    <mergeCell ref="Q102:S102"/>
    <mergeCell ref="Q94:S94"/>
    <mergeCell ref="P1057:Q1058"/>
    <mergeCell ref="R1057:S1058"/>
    <mergeCell ref="H71:K71"/>
    <mergeCell ref="Q27:Q28"/>
    <mergeCell ref="I27:I28"/>
    <mergeCell ref="H115:K115"/>
    <mergeCell ref="Q106:S106"/>
    <mergeCell ref="H80:K80"/>
    <mergeCell ref="H81:K81"/>
    <mergeCell ref="H78:K78"/>
    <mergeCell ref="H43:H44"/>
    <mergeCell ref="R27:R28"/>
    <mergeCell ref="L27:L28"/>
    <mergeCell ref="H27:H28"/>
    <mergeCell ref="M27:M28"/>
    <mergeCell ref="Q69:S69"/>
    <mergeCell ref="Q75:S75"/>
    <mergeCell ref="Q70:S70"/>
    <mergeCell ref="Q71:S71"/>
    <mergeCell ref="F63:S64"/>
    <mergeCell ref="H101:K101"/>
    <mergeCell ref="H102:K102"/>
    <mergeCell ref="H122:K122"/>
    <mergeCell ref="H116:K116"/>
    <mergeCell ref="H72:K72"/>
    <mergeCell ref="H73:K73"/>
    <mergeCell ref="H74:K74"/>
    <mergeCell ref="H75:K75"/>
    <mergeCell ref="H79:K79"/>
    <mergeCell ref="L1074:M1074"/>
    <mergeCell ref="Q138:S138"/>
    <mergeCell ref="L362:M362"/>
    <mergeCell ref="L363:M363"/>
    <mergeCell ref="L364:M364"/>
    <mergeCell ref="L365:M365"/>
    <mergeCell ref="L366:M366"/>
    <mergeCell ref="Q127:S127"/>
    <mergeCell ref="Q128:S128"/>
    <mergeCell ref="Q129:S129"/>
    <mergeCell ref="Q136:S136"/>
    <mergeCell ref="Q137:S137"/>
    <mergeCell ref="Q133:S133"/>
    <mergeCell ref="Q126:S126"/>
    <mergeCell ref="Q170:S170"/>
    <mergeCell ref="Q171:S171"/>
    <mergeCell ref="H164:K164"/>
    <mergeCell ref="H246:K246"/>
    <mergeCell ref="H247:K247"/>
    <mergeCell ref="H272:K272"/>
    <mergeCell ref="H263:K263"/>
    <mergeCell ref="H253:K253"/>
    <mergeCell ref="H254:K254"/>
    <mergeCell ref="H255:K255"/>
    <mergeCell ref="H257:K257"/>
    <mergeCell ref="H258:K258"/>
    <mergeCell ref="H292:K292"/>
    <mergeCell ref="H293:K293"/>
    <mergeCell ref="H294:K294"/>
    <mergeCell ref="H295:K295"/>
    <mergeCell ref="H296:K296"/>
    <mergeCell ref="H287:K287"/>
    <mergeCell ref="H176:K176"/>
    <mergeCell ref="H177:K177"/>
    <mergeCell ref="H178:K178"/>
    <mergeCell ref="H179:K179"/>
    <mergeCell ref="H180:K180"/>
    <mergeCell ref="H171:K171"/>
    <mergeCell ref="H183:K183"/>
    <mergeCell ref="H172:K172"/>
    <mergeCell ref="H158:K158"/>
    <mergeCell ref="H162:K162"/>
    <mergeCell ref="H163:K163"/>
    <mergeCell ref="H165:K165"/>
    <mergeCell ref="H83:K83"/>
    <mergeCell ref="H103:K103"/>
    <mergeCell ref="H104:K104"/>
    <mergeCell ref="H105:K105"/>
    <mergeCell ref="H106:K106"/>
    <mergeCell ref="H107:K107"/>
    <mergeCell ref="H108:K108"/>
    <mergeCell ref="H109:K109"/>
    <mergeCell ref="H110:K110"/>
    <mergeCell ref="H121:K121"/>
    <mergeCell ref="H94:K94"/>
    <mergeCell ref="H98:K98"/>
    <mergeCell ref="H97:K97"/>
    <mergeCell ref="L367:M367"/>
    <mergeCell ref="L368:M368"/>
    <mergeCell ref="L369:M369"/>
    <mergeCell ref="L370:M370"/>
    <mergeCell ref="L371:M371"/>
    <mergeCell ref="L372:M372"/>
    <mergeCell ref="L373:M373"/>
    <mergeCell ref="H551:K551"/>
    <mergeCell ref="H553:K553"/>
    <mergeCell ref="H554:K554"/>
    <mergeCell ref="H555:K555"/>
    <mergeCell ref="H544:K544"/>
    <mergeCell ref="L374:M374"/>
    <mergeCell ref="H225:K225"/>
    <mergeCell ref="H226:K226"/>
    <mergeCell ref="H173:K173"/>
    <mergeCell ref="H174:K174"/>
    <mergeCell ref="H485:K485"/>
    <mergeCell ref="H202:K202"/>
    <mergeCell ref="H203:K203"/>
    <mergeCell ref="H204:K204"/>
    <mergeCell ref="H205:K205"/>
    <mergeCell ref="H206:K206"/>
    <mergeCell ref="H239:K239"/>
    <mergeCell ref="H240:K240"/>
    <mergeCell ref="H241:K241"/>
    <mergeCell ref="H269:K269"/>
    <mergeCell ref="H270:K270"/>
    <mergeCell ref="H271:K271"/>
    <mergeCell ref="H491:K491"/>
    <mergeCell ref="H492:K492"/>
    <mergeCell ref="H493:K493"/>
    <mergeCell ref="I43:I44"/>
    <mergeCell ref="H159:K159"/>
    <mergeCell ref="H160:K160"/>
    <mergeCell ref="H151:K151"/>
    <mergeCell ref="H152:K152"/>
    <mergeCell ref="H153:K153"/>
    <mergeCell ref="H154:K154"/>
    <mergeCell ref="H155:K155"/>
    <mergeCell ref="H191:K191"/>
    <mergeCell ref="H192:K192"/>
    <mergeCell ref="H193:K193"/>
    <mergeCell ref="H313:K313"/>
    <mergeCell ref="H316:K316"/>
    <mergeCell ref="H318:K318"/>
    <mergeCell ref="H321:K321"/>
    <mergeCell ref="H307:K307"/>
    <mergeCell ref="H194:K194"/>
    <mergeCell ref="H236:K236"/>
    <mergeCell ref="H238:K238"/>
    <mergeCell ref="H227:K227"/>
    <mergeCell ref="H228:K228"/>
    <mergeCell ref="H230:K230"/>
    <mergeCell ref="H231:K231"/>
    <mergeCell ref="H232:K232"/>
    <mergeCell ref="H222:K222"/>
    <mergeCell ref="H223:K223"/>
    <mergeCell ref="H224:K224"/>
    <mergeCell ref="H190:K190"/>
    <mergeCell ref="H181:K181"/>
    <mergeCell ref="H182:K182"/>
    <mergeCell ref="H237:K237"/>
    <mergeCell ref="H198:K198"/>
    <mergeCell ref="Q1051:S1051"/>
    <mergeCell ref="H586:K586"/>
    <mergeCell ref="Q586:S586"/>
    <mergeCell ref="H219:K219"/>
    <mergeCell ref="H220:K220"/>
    <mergeCell ref="H221:K221"/>
    <mergeCell ref="H212:K212"/>
    <mergeCell ref="H213:K213"/>
    <mergeCell ref="H214:K214"/>
    <mergeCell ref="H215:K215"/>
    <mergeCell ref="H216:K216"/>
    <mergeCell ref="H207:K207"/>
    <mergeCell ref="H208:K208"/>
    <mergeCell ref="H209:K209"/>
    <mergeCell ref="H210:K210"/>
    <mergeCell ref="H211:K211"/>
    <mergeCell ref="H502:K502"/>
    <mergeCell ref="H729:K729"/>
    <mergeCell ref="H927:K927"/>
    <mergeCell ref="Q1031:S1031"/>
    <mergeCell ref="H720:K720"/>
    <mergeCell ref="H722:K722"/>
    <mergeCell ref="H724:K724"/>
    <mergeCell ref="H726:K726"/>
    <mergeCell ref="H728:K728"/>
    <mergeCell ref="H730:K730"/>
    <mergeCell ref="H733:K733"/>
    <mergeCell ref="H735:K735"/>
    <mergeCell ref="Q834:S834"/>
    <mergeCell ref="H834:K834"/>
    <mergeCell ref="Q741:S741"/>
    <mergeCell ref="H741:K741"/>
    <mergeCell ref="H494:K494"/>
    <mergeCell ref="H495:K495"/>
    <mergeCell ref="H520:K520"/>
    <mergeCell ref="H549:K549"/>
    <mergeCell ref="H175:K175"/>
    <mergeCell ref="H186:K186"/>
    <mergeCell ref="H187:K187"/>
    <mergeCell ref="H188:K188"/>
    <mergeCell ref="H189:K189"/>
    <mergeCell ref="H242:K242"/>
    <mergeCell ref="H243:K243"/>
    <mergeCell ref="H233:K233"/>
    <mergeCell ref="H234:K234"/>
    <mergeCell ref="H235:K235"/>
    <mergeCell ref="H217:K217"/>
    <mergeCell ref="H218:K218"/>
    <mergeCell ref="H229:K229"/>
    <mergeCell ref="H273:K273"/>
    <mergeCell ref="H264:K264"/>
    <mergeCell ref="H265:K265"/>
    <mergeCell ref="H266:K266"/>
    <mergeCell ref="H267:K267"/>
    <mergeCell ref="H268:K268"/>
    <mergeCell ref="H259:K259"/>
    <mergeCell ref="H260:K260"/>
    <mergeCell ref="H261:K261"/>
    <mergeCell ref="H262:K262"/>
    <mergeCell ref="H196:K196"/>
    <mergeCell ref="H199:K199"/>
    <mergeCell ref="H201:K201"/>
    <mergeCell ref="H184:K184"/>
    <mergeCell ref="H185:K185"/>
    <mergeCell ref="M43:M44"/>
    <mergeCell ref="P59:S61"/>
    <mergeCell ref="Q62:S62"/>
    <mergeCell ref="P49:S49"/>
    <mergeCell ref="R47:S47"/>
    <mergeCell ref="R43:R44"/>
    <mergeCell ref="L43:L44"/>
    <mergeCell ref="Q43:Q44"/>
    <mergeCell ref="H195:K195"/>
    <mergeCell ref="Q195:S195"/>
    <mergeCell ref="H527:K527"/>
    <mergeCell ref="Q527:S527"/>
    <mergeCell ref="H145:K145"/>
    <mergeCell ref="Q145:S145"/>
    <mergeCell ref="H444:K444"/>
    <mergeCell ref="Q444:S444"/>
    <mergeCell ref="H256:K256"/>
    <mergeCell ref="Q256:S256"/>
    <mergeCell ref="Q147:S147"/>
    <mergeCell ref="H146:K146"/>
    <mergeCell ref="Q474:S474"/>
    <mergeCell ref="H474:K474"/>
    <mergeCell ref="Q502:S502"/>
    <mergeCell ref="H361:K361"/>
    <mergeCell ref="L375:M375"/>
    <mergeCell ref="L82:M82"/>
    <mergeCell ref="L76:M76"/>
    <mergeCell ref="P47:Q47"/>
    <mergeCell ref="H348:K348"/>
    <mergeCell ref="H490:K490"/>
    <mergeCell ref="Q490:S490"/>
    <mergeCell ref="P48:Q48"/>
    <mergeCell ref="XEK198:XEN198"/>
    <mergeCell ref="H744:K744"/>
    <mergeCell ref="J1067:O1067"/>
    <mergeCell ref="J1055:O1055"/>
    <mergeCell ref="F51:G51"/>
    <mergeCell ref="F50:G50"/>
    <mergeCell ref="H841:K841"/>
    <mergeCell ref="H133:K133"/>
    <mergeCell ref="L133:M133"/>
    <mergeCell ref="H134:K134"/>
    <mergeCell ref="H376:K376"/>
    <mergeCell ref="H377:K377"/>
    <mergeCell ref="H453:K453"/>
    <mergeCell ref="H928:K928"/>
    <mergeCell ref="H613:K613"/>
    <mergeCell ref="H747:K747"/>
    <mergeCell ref="H695:K695"/>
    <mergeCell ref="H708:K708"/>
    <mergeCell ref="H709:K709"/>
    <mergeCell ref="H637:K637"/>
    <mergeCell ref="Q536:S536"/>
    <mergeCell ref="H573:K573"/>
    <mergeCell ref="Q573:S573"/>
    <mergeCell ref="H585:K585"/>
    <mergeCell ref="Q585:S585"/>
    <mergeCell ref="H694:K694"/>
    <mergeCell ref="Q694:S694"/>
    <mergeCell ref="H496:K496"/>
    <mergeCell ref="H497:K497"/>
    <mergeCell ref="H498:K498"/>
    <mergeCell ref="H499:K499"/>
    <mergeCell ref="H500:K500"/>
    <mergeCell ref="F49:G49"/>
    <mergeCell ref="R1056:S1056"/>
    <mergeCell ref="R1055:S1055"/>
    <mergeCell ref="P1055:Q1055"/>
    <mergeCell ref="P1056:Q1056"/>
    <mergeCell ref="H85:K85"/>
    <mergeCell ref="H88:K88"/>
    <mergeCell ref="H91:K91"/>
    <mergeCell ref="H92:K92"/>
    <mergeCell ref="H95:K95"/>
    <mergeCell ref="H96:K96"/>
    <mergeCell ref="Q85:S85"/>
    <mergeCell ref="Q88:S88"/>
    <mergeCell ref="Q91:S91"/>
    <mergeCell ref="Q92:S92"/>
    <mergeCell ref="Q95:S95"/>
    <mergeCell ref="Q96:S96"/>
    <mergeCell ref="H644:K644"/>
    <mergeCell ref="Q644:S644"/>
    <mergeCell ref="Q1008:S1008"/>
    <mergeCell ref="H1009:K1009"/>
    <mergeCell ref="Q1009:S1009"/>
    <mergeCell ref="H703:K703"/>
    <mergeCell ref="Q702:S702"/>
    <mergeCell ref="Q703:S703"/>
    <mergeCell ref="Q700:S700"/>
    <mergeCell ref="Q93:S93"/>
    <mergeCell ref="H84:K84"/>
    <mergeCell ref="H200:K200"/>
    <mergeCell ref="H605:K605"/>
    <mergeCell ref="Q605:S605"/>
    <mergeCell ref="H749:K749"/>
    <mergeCell ref="Q708:S708"/>
    <mergeCell ref="Q709:S709"/>
    <mergeCell ref="Q747:S747"/>
    <mergeCell ref="Q840:S840"/>
    <mergeCell ref="Q841:S841"/>
    <mergeCell ref="Q925:S925"/>
    <mergeCell ref="Q1048:S1048"/>
    <mergeCell ref="Q950:S950"/>
    <mergeCell ref="Q948:S948"/>
    <mergeCell ref="Q960:S960"/>
    <mergeCell ref="Q961:S961"/>
    <mergeCell ref="H889:K889"/>
    <mergeCell ref="Q889:S889"/>
    <mergeCell ref="H872:K872"/>
    <mergeCell ref="Q872:S872"/>
    <mergeCell ref="H737:K737"/>
    <mergeCell ref="Q737:S737"/>
    <mergeCell ref="H736:K736"/>
    <mergeCell ref="Q736:S736"/>
    <mergeCell ref="H750:K750"/>
    <mergeCell ref="H732:K732"/>
    <mergeCell ref="H734:K734"/>
    <mergeCell ref="H738:K738"/>
    <mergeCell ref="H739:K739"/>
    <mergeCell ref="H740:K740"/>
    <mergeCell ref="H721:K721"/>
    <mergeCell ref="H723:K723"/>
    <mergeCell ref="H725:K725"/>
    <mergeCell ref="H727:K727"/>
    <mergeCell ref="H776:K776"/>
    <mergeCell ref="H760:K760"/>
    <mergeCell ref="H761:K761"/>
  </mergeCells>
  <phoneticPr fontId="3" type="noConversion"/>
  <conditionalFormatting sqref="W1:W92">
    <cfRule type="cellIs" dxfId="1" priority="10" operator="equal">
      <formula>"hide"</formula>
    </cfRule>
  </conditionalFormatting>
  <conditionalFormatting sqref="W94:W1048576">
    <cfRule type="cellIs" dxfId="0" priority="1" operator="equal">
      <formula>"hide"</formula>
    </cfRule>
  </conditionalFormatting>
  <dataValidations count="9">
    <dataValidation type="list" showErrorMessage="1" prompt=" " sqref="I27:I28 M27:M28 R27:R28 I43:I47 M43:M47 R43:R44" xr:uid="{82E6582F-B811-4FE4-8777-A36E5F63D458}">
      <formula1>"0,1,2,3,4,5,6,7,8,9,10,11,12,13,14,15,16,17,18,19,20"</formula1>
    </dataValidation>
    <dataValidation type="custom" allowBlank="1" showInputMessage="1" showErrorMessage="1" error="Please enter a number that is a multiple of 6 (e.g., 6, 12, 18)." sqref="L363:M374 M202:M359 M615:M925" xr:uid="{26F8A88D-A7D5-4DF7-A183-DF171B139779}">
      <formula1>MOD(L202,6)=0</formula1>
    </dataValidation>
    <dataValidation type="custom" allowBlank="1" showInputMessage="1" showErrorMessage="1" error="Please enter a number that is a multiple of 12 (e.g., 12, 24, 36)" sqref="L455:L610 L136:L196" xr:uid="{5A9F926B-2191-46D8-B656-09ADDDBF224F}">
      <formula1>MOD(L136,12)=0</formula1>
    </dataValidation>
    <dataValidation type="custom" allowBlank="1" showInputMessage="1" showErrorMessage="1" error="Please enter a number that is a multiple of 3 (e.g., 3, 6, 9)" sqref="L1072:L1073 P1060 L930:L1052 L380:L449" xr:uid="{758DB626-1445-4574-BBB0-AE8B0343F169}">
      <formula1>MOD(L380,3)=0</formula1>
    </dataValidation>
    <dataValidation type="custom" allowBlank="1" showInputMessage="1" showErrorMessage="1" error="Please enter a number that is a multiple of 3 (e.g., 3, 6, 9)." sqref="P1060 M1072:M1073 M930:M1052 M380:M449" xr:uid="{AE8C09C4-40C6-4B34-9E4C-2C01AAAC5548}">
      <formula1>MOD(M380,3)=0</formula1>
    </dataValidation>
    <dataValidation type="custom" allowBlank="1" showInputMessage="1" showErrorMessage="1" error="Please enter a number that is a multiple of 8 (e.g., 8, 16, 24)" sqref="M136:M196 M455:M610" xr:uid="{67F809D9-4704-48D6-BC62-4E4BE766DB0F}">
      <formula1>MOD(M136,8)=0</formula1>
    </dataValidation>
    <dataValidation type="list" allowBlank="1" showInputMessage="1" showErrorMessage="1" sqref="J50:J54" xr:uid="{E25C8F01-62FA-446C-B4A8-416D86D8EEBD}">
      <formula1>"0,1,2,3,4,5"</formula1>
    </dataValidation>
    <dataValidation type="list" allowBlank="1" showInputMessage="1" showErrorMessage="1" sqref="L79:L81 L69:L75" xr:uid="{59C1C0C8-A7C8-4F18-B57E-317AD7222BF9}">
      <formula1>"0 cases, 1 case, 2 cases, 3 cases, 4 cases, 5 cases, 6 cases, 7 cases, 8 cases, 9 cases, 10 cases, 11 cases, 12 cases, 14 cases, 15 cases, 16 cases, 17 cases, 18 cases, 19 cases, 20 cases"</formula1>
    </dataValidation>
    <dataValidation type="custom" allowBlank="1" showInputMessage="1" showErrorMessage="1" error="Please enter a number that is a multiple of 6 (e.g. 6, 12, 18, 24)" sqref="L615:L925 L202:L359" xr:uid="{8DE705F9-4FE0-4180-94AA-E54FEB017178}">
      <formula1>MOD(L202,6)=0</formula1>
    </dataValidation>
  </dataValidations>
  <printOptions horizontalCentered="1"/>
  <pageMargins left="0.25" right="0.25" top="0.75" bottom="0.75" header="0.3" footer="0.3"/>
  <pageSetup scale="32" fitToHeight="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2237-6284-4E94-B2F8-E259AC4BA083}">
  <dimension ref="A1:B5"/>
  <sheetViews>
    <sheetView workbookViewId="0">
      <selection activeCell="B5" sqref="B5"/>
    </sheetView>
  </sheetViews>
  <sheetFormatPr defaultRowHeight="15" x14ac:dyDescent="0.25"/>
  <sheetData>
    <row r="1" spans="1:2" x14ac:dyDescent="0.25">
      <c r="A1" t="s">
        <v>2753</v>
      </c>
    </row>
    <row r="2" spans="1:2" x14ac:dyDescent="0.25">
      <c r="A2" t="s">
        <v>2754</v>
      </c>
      <c r="B2" t="s">
        <v>2755</v>
      </c>
    </row>
    <row r="3" spans="1:2" x14ac:dyDescent="0.25">
      <c r="A3" t="s">
        <v>77</v>
      </c>
      <c r="B3">
        <v>48</v>
      </c>
    </row>
    <row r="4" spans="1:2" x14ac:dyDescent="0.25">
      <c r="A4" t="s">
        <v>75</v>
      </c>
      <c r="B4">
        <v>24</v>
      </c>
    </row>
    <row r="5" spans="1:2" x14ac:dyDescent="0.25">
      <c r="A5" t="s">
        <v>62</v>
      </c>
      <c r="B5">
        <v>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0377961-ec2b-4eb1-8c6a-2e002a0c5b0a">
      <UserInfo>
        <DisplayName>Kim Stone</DisplayName>
        <AccountId>31</AccountId>
        <AccountType/>
      </UserInfo>
    </SharedWithUsers>
    <MigrationWizIdVersion xmlns="12e94291-a341-4f68-95d0-211ca328e01e" xsi:nil="true"/>
    <TaxCatchAll xmlns="60377961-ec2b-4eb1-8c6a-2e002a0c5b0a" xsi:nil="true"/>
    <lcf76f155ced4ddcb4097134ff3c332f xmlns="12e94291-a341-4f68-95d0-211ca328e01e">
      <Terms xmlns="http://schemas.microsoft.com/office/infopath/2007/PartnerControls"/>
    </lcf76f155ced4ddcb4097134ff3c332f>
    <MigrationWizId xmlns="12e94291-a341-4f68-95d0-211ca328e01e" xsi:nil="true"/>
    <MigrationWizIdPermissions xmlns="12e94291-a341-4f68-95d0-211ca328e01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73791299AFB4C954DC287ECB1DABB" ma:contentTypeVersion="24" ma:contentTypeDescription="Create a new document." ma:contentTypeScope="" ma:versionID="eaaa0c4b40d4bbf6debf058b2c69a6aa">
  <xsd:schema xmlns:xsd="http://www.w3.org/2001/XMLSchema" xmlns:xs="http://www.w3.org/2001/XMLSchema" xmlns:p="http://schemas.microsoft.com/office/2006/metadata/properties" xmlns:ns1="http://schemas.microsoft.com/sharepoint/v3" xmlns:ns2="12e94291-a341-4f68-95d0-211ca328e01e" xmlns:ns3="60377961-ec2b-4eb1-8c6a-2e002a0c5b0a" targetNamespace="http://schemas.microsoft.com/office/2006/metadata/properties" ma:root="true" ma:fieldsID="f56c3e886d3f5df7f2fe9f78a0737a86" ns1:_="" ns2:_="" ns3:_="">
    <xsd:import namespace="http://schemas.microsoft.com/sharepoint/v3"/>
    <xsd:import namespace="12e94291-a341-4f68-95d0-211ca328e01e"/>
    <xsd:import namespace="60377961-ec2b-4eb1-8c6a-2e002a0c5b0a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94291-a341-4f68-95d0-211ca328e01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c32c1fad-ca08-4473-a0b8-f7f00b5211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377961-ec2b-4eb1-8c6a-2e002a0c5b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37b0cd11-f43b-486e-9549-7b1dfbb9d595}" ma:internalName="TaxCatchAll" ma:showField="CatchAllData" ma:web="60377961-ec2b-4eb1-8c6a-2e002a0c5b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6D157B-CF2F-4090-950A-755F9FC20147}">
  <ds:schemaRefs>
    <ds:schemaRef ds:uri="http://schemas.microsoft.com/office/2006/documentManagement/types"/>
    <ds:schemaRef ds:uri="12e94291-a341-4f68-95d0-211ca328e01e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terms/"/>
    <ds:schemaRef ds:uri="60377961-ec2b-4eb1-8c6a-2e002a0c5b0a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59E3589-0FA4-4098-A4EE-D2CBDF8C7F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4E807D-7C58-4C25-83AA-9B839F30D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e94291-a341-4f68-95d0-211ca328e01e"/>
    <ds:schemaRef ds:uri="60377961-ec2b-4eb1-8c6a-2e002a0c5b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availability</vt:lpstr>
      <vt:lpstr>Min table</vt:lpstr>
      <vt:lpstr>Min_Table</vt:lpstr>
      <vt:lpstr>Mintable</vt:lpstr>
      <vt:lpstr>availability!Print_Area</vt:lpstr>
      <vt:lpstr>size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</dc:creator>
  <cp:keywords/>
  <dc:description/>
  <cp:lastModifiedBy>Kim Cook</cp:lastModifiedBy>
  <cp:revision/>
  <cp:lastPrinted>2025-10-10T13:04:19Z</cp:lastPrinted>
  <dcterms:created xsi:type="dcterms:W3CDTF">2022-06-28T17:19:07Z</dcterms:created>
  <dcterms:modified xsi:type="dcterms:W3CDTF">2025-10-17T21:14:46Z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0x0101000F773791299AFB4C954DC287ECB1DABB</vt:lpwstr>
  </property>
  <property fmtid="{D5CDD505-2E9C-101B-9397-08002B2CF9AE}" pid="3" name="MediaServiceImageTags">
    <vt:lpwstr/>
  </property>
</Properties>
</file>